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ite web_nouvelle version\Site_JCTdive_2022\calculateur\"/>
    </mc:Choice>
  </mc:AlternateContent>
  <xr:revisionPtr revIDLastSave="0" documentId="8_{5B9F7118-A7F5-43B6-84B7-FC95A535E37C}" xr6:coauthVersionLast="47" xr6:coauthVersionMax="47" xr10:uidLastSave="{00000000-0000-0000-0000-000000000000}"/>
  <bookViews>
    <workbookView xWindow="-108" yWindow="-108" windowWidth="23256" windowHeight="12576" xr2:uid="{E589AFF7-A644-46E0-B97E-F68B3AC91A2C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G44" i="1" s="1"/>
  <c r="C40" i="1"/>
  <c r="G43" i="1" s="1"/>
  <c r="D39" i="1"/>
  <c r="C39" i="1"/>
  <c r="B39" i="1"/>
  <c r="C38" i="1"/>
  <c r="D38" i="1"/>
  <c r="B38" i="1"/>
  <c r="B40" i="1" s="1"/>
  <c r="F43" i="1" s="1"/>
  <c r="F44" i="1" l="1"/>
  <c r="H44" i="1" s="1"/>
  <c r="I43" i="1"/>
  <c r="H43" i="1"/>
  <c r="H31" i="1"/>
  <c r="G38" i="1"/>
  <c r="E9" i="1"/>
  <c r="F9" i="1" s="1"/>
  <c r="G9" i="1" s="1"/>
  <c r="G31" i="1" s="1"/>
  <c r="M31" i="1"/>
  <c r="O32" i="1" s="1"/>
  <c r="M32" i="1" s="1"/>
  <c r="H30" i="1"/>
  <c r="G40" i="1" s="1"/>
  <c r="M21" i="1"/>
  <c r="M22" i="1" s="1"/>
  <c r="H28" i="1"/>
  <c r="G42" i="1" s="1"/>
  <c r="M15" i="1"/>
  <c r="G18" i="1"/>
  <c r="M18" i="1"/>
  <c r="G17" i="1"/>
  <c r="M14" i="1" s="1"/>
  <c r="I44" i="1" l="1"/>
  <c r="E31" i="1"/>
  <c r="F31" i="1"/>
  <c r="F38" i="1"/>
  <c r="I38" i="1" s="1"/>
  <c r="M19" i="1"/>
  <c r="M20" i="1" s="1"/>
  <c r="E25" i="1" s="1"/>
  <c r="M24" i="1" s="1"/>
  <c r="H38" i="1" l="1"/>
  <c r="M26" i="1"/>
  <c r="M25" i="1"/>
  <c r="M23" i="1"/>
  <c r="F28" i="1" s="1"/>
  <c r="F30" i="1" l="1"/>
  <c r="F42" i="1"/>
  <c r="M28" i="1"/>
  <c r="M27" i="1"/>
  <c r="E28" i="1"/>
  <c r="G28" i="1"/>
  <c r="E30" i="1" l="1"/>
  <c r="F40" i="1"/>
  <c r="G30" i="1"/>
  <c r="I42" i="1"/>
  <c r="H42" i="1"/>
  <c r="F29" i="1"/>
  <c r="F39" i="1" s="1"/>
  <c r="M29" i="1"/>
  <c r="M30" i="1" s="1"/>
  <c r="O30" i="1" s="1"/>
  <c r="I29" i="1" s="1"/>
  <c r="H29" i="1" s="1"/>
  <c r="G39" i="1" s="1"/>
  <c r="H39" i="1" s="1"/>
  <c r="H40" i="1" l="1"/>
  <c r="I40" i="1"/>
  <c r="I39" i="1"/>
  <c r="I41" i="1" s="1"/>
  <c r="G29" i="1"/>
  <c r="E29" i="1"/>
  <c r="H45" i="1" l="1"/>
  <c r="H46" i="1"/>
  <c r="H52" i="1"/>
  <c r="H41" i="1"/>
  <c r="J41" i="1" s="1"/>
  <c r="I45" i="1"/>
  <c r="I46" i="1"/>
  <c r="F32" i="1" l="1"/>
  <c r="G32" i="1" s="1"/>
  <c r="I52" i="1"/>
  <c r="H54" i="1"/>
  <c r="H53" i="1"/>
  <c r="C44" i="1"/>
  <c r="I53" i="1"/>
  <c r="J45" i="1"/>
  <c r="A44" i="1" s="1"/>
  <c r="H32" i="1"/>
  <c r="J46" i="1"/>
  <c r="A45" i="1" s="1"/>
  <c r="I54" i="1"/>
  <c r="C45" i="1"/>
  <c r="E32" i="1" l="1"/>
  <c r="B45" i="1"/>
  <c r="D45" i="1"/>
  <c r="B44" i="1"/>
  <c r="D44" i="1"/>
</calcChain>
</file>

<file path=xl/sharedStrings.xml><?xml version="1.0" encoding="utf-8"?>
<sst xmlns="http://schemas.openxmlformats.org/spreadsheetml/2006/main" count="167" uniqueCount="146">
  <si>
    <t xml:space="preserve">Introduction  des données </t>
  </si>
  <si>
    <t xml:space="preserve">Vme - Courant de mortes-eaux (C=45) </t>
  </si>
  <si>
    <t>Vve - Courant de vives-eaux (C=95)</t>
  </si>
  <si>
    <t>Coefficient  de marée  ( C)</t>
  </si>
  <si>
    <t>Résultats</t>
  </si>
  <si>
    <t>m/s</t>
  </si>
  <si>
    <t xml:space="preserve">Nœuds </t>
  </si>
  <si>
    <t>Km/h</t>
  </si>
  <si>
    <t xml:space="preserve">Introduction des données </t>
  </si>
  <si>
    <t xml:space="preserve">Degrés </t>
  </si>
  <si>
    <t>m</t>
  </si>
  <si>
    <t>Vitesse du vent  (W)</t>
  </si>
  <si>
    <t>Paramètre de Coriolis (f)</t>
  </si>
  <si>
    <t xml:space="preserve">Latitude  géographique </t>
  </si>
  <si>
    <t>radians</t>
  </si>
  <si>
    <r>
      <t>Kg/m</t>
    </r>
    <r>
      <rPr>
        <vertAlign val="superscript"/>
        <sz val="14"/>
        <color theme="1"/>
        <rFont val="Arial"/>
        <family val="2"/>
      </rPr>
      <t>3</t>
    </r>
  </si>
  <si>
    <r>
      <t xml:space="preserve">Masse volumique de l'eau (ρ </t>
    </r>
    <r>
      <rPr>
        <vertAlign val="subscript"/>
        <sz val="14"/>
        <color theme="1"/>
        <rFont val="Arial"/>
        <family val="2"/>
      </rPr>
      <t>Eau</t>
    </r>
    <r>
      <rPr>
        <sz val="14"/>
        <color theme="1"/>
        <rFont val="Arial"/>
        <family val="2"/>
      </rPr>
      <t>)</t>
    </r>
  </si>
  <si>
    <r>
      <t>Masse volumique de l'air (</t>
    </r>
    <r>
      <rPr>
        <sz val="14"/>
        <color theme="1"/>
        <rFont val="Aptos Narrow"/>
        <family val="2"/>
      </rPr>
      <t>ρ</t>
    </r>
    <r>
      <rPr>
        <sz val="14"/>
        <color theme="1"/>
        <rFont val="Arial"/>
        <family val="2"/>
      </rPr>
      <t xml:space="preserve"> </t>
    </r>
    <r>
      <rPr>
        <vertAlign val="subscript"/>
        <sz val="14"/>
        <color theme="1"/>
        <rFont val="Arial"/>
        <family val="2"/>
      </rPr>
      <t>Air</t>
    </r>
    <r>
      <rPr>
        <sz val="14"/>
        <color theme="1"/>
        <rFont val="Arial"/>
        <family val="2"/>
      </rPr>
      <t>)</t>
    </r>
  </si>
  <si>
    <t>Profondeur du site (h)</t>
  </si>
  <si>
    <t>K</t>
  </si>
  <si>
    <t>Profondeur d'influence d' Ekman (D)</t>
  </si>
  <si>
    <t>u</t>
  </si>
  <si>
    <t>Tension vent (T)</t>
  </si>
  <si>
    <t>N</t>
  </si>
  <si>
    <t xml:space="preserve">Direction du vent  </t>
  </si>
  <si>
    <t>Profondeur de la plongée  (z)</t>
  </si>
  <si>
    <t>(-Z/D)</t>
  </si>
  <si>
    <t>(-Z/D -Pi/4)</t>
  </si>
  <si>
    <t>Radians</t>
  </si>
  <si>
    <t xml:space="preserve">Vitesse </t>
  </si>
  <si>
    <t>Direction  (degrés)</t>
  </si>
  <si>
    <t>/ Nord</t>
  </si>
  <si>
    <t>/ Vent</t>
  </si>
  <si>
    <r>
      <t>Courant de dérive (Ekman) en surface (V</t>
    </r>
    <r>
      <rPr>
        <vertAlign val="subscript"/>
        <sz val="14"/>
        <color theme="1"/>
        <rFont val="Arial"/>
        <family val="2"/>
      </rPr>
      <t>0</t>
    </r>
    <r>
      <rPr>
        <sz val="14"/>
        <color theme="1"/>
        <rFont val="Arial"/>
        <family val="2"/>
      </rPr>
      <t xml:space="preserve">) </t>
    </r>
  </si>
  <si>
    <t>Direction du vent valable pour hémisphère Nord</t>
  </si>
  <si>
    <t>arctg|Vv/Vu|</t>
  </si>
  <si>
    <t xml:space="preserve">degrés </t>
  </si>
  <si>
    <t>Identique</t>
  </si>
  <si>
    <t>Angle (alpha) entre direction du vent et une perpendiculaire à la côte dans le sens antihorlogique</t>
  </si>
  <si>
    <r>
      <t>Courant Géostrophique (V</t>
    </r>
    <r>
      <rPr>
        <vertAlign val="subscript"/>
        <sz val="14"/>
        <color theme="1"/>
        <rFont val="Arial"/>
        <family val="2"/>
      </rPr>
      <t>G</t>
    </r>
    <r>
      <rPr>
        <sz val="14"/>
        <color theme="1"/>
        <rFont val="Arial"/>
        <family val="2"/>
      </rPr>
      <t>)</t>
    </r>
  </si>
  <si>
    <t xml:space="preserve">alpha </t>
  </si>
  <si>
    <t xml:space="preserve">radians </t>
  </si>
  <si>
    <r>
      <t>Courant de dérive (Ekman) profondeur plongée (V</t>
    </r>
    <r>
      <rPr>
        <vertAlign val="subscript"/>
        <sz val="14"/>
        <color theme="1"/>
        <rFont val="Arial"/>
        <family val="2"/>
      </rPr>
      <t>E</t>
    </r>
    <r>
      <rPr>
        <sz val="14"/>
        <color theme="1"/>
        <rFont val="Arial"/>
        <family val="2"/>
      </rPr>
      <t>)</t>
    </r>
  </si>
  <si>
    <t>|sin alpha|</t>
  </si>
  <si>
    <r>
      <t xml:space="preserve">Courant de marée en nœuds  (V </t>
    </r>
    <r>
      <rPr>
        <vertAlign val="subscript"/>
        <sz val="14"/>
        <color theme="1"/>
        <rFont val="Arial"/>
        <family val="2"/>
      </rPr>
      <t>marée</t>
    </r>
    <r>
      <rPr>
        <sz val="14"/>
        <color theme="1"/>
        <rFont val="Arial"/>
        <family val="2"/>
      </rPr>
      <t>)</t>
    </r>
  </si>
  <si>
    <t xml:space="preserve">Direction du courant de marée </t>
  </si>
  <si>
    <t>Degrés</t>
  </si>
  <si>
    <t xml:space="preserve">Courant </t>
  </si>
  <si>
    <t xml:space="preserve">Force </t>
  </si>
  <si>
    <t xml:space="preserve">direction </t>
  </si>
  <si>
    <t>Y</t>
  </si>
  <si>
    <t xml:space="preserve">Marée </t>
  </si>
  <si>
    <r>
      <t xml:space="preserve">Projection courant axe x </t>
    </r>
    <r>
      <rPr>
        <sz val="12"/>
        <color theme="1"/>
        <rFont val="Arial"/>
        <family val="2"/>
      </rPr>
      <t>(Latitude)</t>
    </r>
    <r>
      <rPr>
        <sz val="16"/>
        <color theme="1"/>
        <rFont val="Arial"/>
        <family val="2"/>
      </rPr>
      <t xml:space="preserve"> et y </t>
    </r>
    <r>
      <rPr>
        <sz val="12"/>
        <color theme="1"/>
        <rFont val="Arial"/>
        <family val="2"/>
      </rPr>
      <t>(Longitude)</t>
    </r>
  </si>
  <si>
    <r>
      <t>V</t>
    </r>
    <r>
      <rPr>
        <vertAlign val="subscript"/>
        <sz val="14"/>
        <color theme="1"/>
        <rFont val="Arial"/>
        <family val="2"/>
      </rPr>
      <t>E</t>
    </r>
  </si>
  <si>
    <r>
      <t>V</t>
    </r>
    <r>
      <rPr>
        <vertAlign val="subscript"/>
        <sz val="14"/>
        <color theme="1"/>
        <rFont val="Arial"/>
        <family val="2"/>
      </rPr>
      <t>G</t>
    </r>
  </si>
  <si>
    <t>x</t>
  </si>
  <si>
    <t>y</t>
  </si>
  <si>
    <r>
      <t>Courant de marée ( V</t>
    </r>
    <r>
      <rPr>
        <vertAlign val="subscript"/>
        <sz val="14"/>
        <color theme="1"/>
        <rFont val="Arial"/>
        <family val="2"/>
      </rPr>
      <t>marée</t>
    </r>
    <r>
      <rPr>
        <sz val="14"/>
        <color theme="1"/>
        <rFont val="Arial"/>
        <family val="2"/>
      </rPr>
      <t xml:space="preserve"> )</t>
    </r>
  </si>
  <si>
    <t>X</t>
  </si>
  <si>
    <t xml:space="preserve">Origine  vecteur courant </t>
  </si>
  <si>
    <t>Angle</t>
  </si>
  <si>
    <t xml:space="preserve">Angle: valeur absolue entre l'axe "X" et le vecteur courant </t>
  </si>
  <si>
    <t>Donnée du grafique courant</t>
  </si>
  <si>
    <r>
      <t>h</t>
    </r>
    <r>
      <rPr>
        <vertAlign val="subscript"/>
        <sz val="10"/>
        <color theme="1"/>
        <rFont val="Arial"/>
        <family val="2"/>
      </rPr>
      <t>0</t>
    </r>
  </si>
  <si>
    <r>
      <t>m</t>
    </r>
    <r>
      <rPr>
        <vertAlign val="superscript"/>
        <sz val="10"/>
        <color theme="1"/>
        <rFont val="Aptos Narrow"/>
        <family val="2"/>
        <scheme val="minor"/>
      </rPr>
      <t>2</t>
    </r>
    <r>
      <rPr>
        <sz val="10"/>
        <color theme="1"/>
        <rFont val="Aptos Narrow"/>
        <family val="2"/>
        <scheme val="minor"/>
      </rPr>
      <t>/S</t>
    </r>
  </si>
  <si>
    <r>
      <t>U</t>
    </r>
    <r>
      <rPr>
        <vertAlign val="superscript"/>
        <sz val="10"/>
        <color theme="1"/>
        <rFont val="Arial"/>
        <family val="2"/>
      </rPr>
      <t>2</t>
    </r>
    <r>
      <rPr>
        <vertAlign val="subscript"/>
        <sz val="10"/>
        <color theme="1"/>
        <rFont val="Arial"/>
        <family val="2"/>
      </rPr>
      <t>Air</t>
    </r>
  </si>
  <si>
    <r>
      <t>U</t>
    </r>
    <r>
      <rPr>
        <vertAlign val="superscript"/>
        <sz val="10"/>
        <color theme="1"/>
        <rFont val="Arial"/>
        <family val="2"/>
      </rPr>
      <t>2</t>
    </r>
    <r>
      <rPr>
        <vertAlign val="subscript"/>
        <sz val="10"/>
        <color theme="1"/>
        <rFont val="Arial"/>
        <family val="2"/>
      </rPr>
      <t>Eau</t>
    </r>
  </si>
  <si>
    <r>
      <t>U</t>
    </r>
    <r>
      <rPr>
        <vertAlign val="superscript"/>
        <sz val="10"/>
        <color theme="1"/>
        <rFont val="Arial"/>
        <family val="2"/>
      </rPr>
      <t>2</t>
    </r>
    <r>
      <rPr>
        <vertAlign val="subscript"/>
        <sz val="10"/>
        <color theme="1"/>
        <rFont val="Arial"/>
        <family val="2"/>
      </rPr>
      <t>Eau</t>
    </r>
    <r>
      <rPr>
        <sz val="10"/>
        <color theme="1"/>
        <rFont val="Arial"/>
        <family val="2"/>
      </rPr>
      <t>/(K f)</t>
    </r>
    <r>
      <rPr>
        <vertAlign val="superscript"/>
        <sz val="10"/>
        <color theme="1"/>
        <rFont val="Arial"/>
        <family val="2"/>
      </rPr>
      <t>0,5</t>
    </r>
  </si>
  <si>
    <r>
      <t>e</t>
    </r>
    <r>
      <rPr>
        <vertAlign val="superscript"/>
        <sz val="10"/>
        <color theme="1"/>
        <rFont val="Arial"/>
        <family val="2"/>
      </rPr>
      <t>(-Z/D)</t>
    </r>
  </si>
  <si>
    <r>
      <t>V</t>
    </r>
    <r>
      <rPr>
        <vertAlign val="subscript"/>
        <sz val="10"/>
        <color theme="1"/>
        <rFont val="Arial"/>
        <family val="2"/>
      </rPr>
      <t>u</t>
    </r>
  </si>
  <si>
    <r>
      <t>V</t>
    </r>
    <r>
      <rPr>
        <vertAlign val="subscript"/>
        <sz val="10"/>
        <color theme="1"/>
        <rFont val="Arial"/>
        <family val="2"/>
      </rPr>
      <t>v</t>
    </r>
  </si>
  <si>
    <r>
      <t>|V</t>
    </r>
    <r>
      <rPr>
        <vertAlign val="subscript"/>
        <sz val="10"/>
        <color theme="1"/>
        <rFont val="Arial"/>
        <family val="2"/>
      </rPr>
      <t>v</t>
    </r>
    <r>
      <rPr>
        <sz val="10"/>
        <color theme="1"/>
        <rFont val="Arial"/>
        <family val="2"/>
      </rPr>
      <t>/V</t>
    </r>
    <r>
      <rPr>
        <vertAlign val="subscript"/>
        <sz val="10"/>
        <color theme="1"/>
        <rFont val="Arial"/>
        <family val="2"/>
      </rPr>
      <t>u</t>
    </r>
    <r>
      <rPr>
        <sz val="10"/>
        <color theme="1"/>
        <rFont val="Arial"/>
        <family val="2"/>
      </rPr>
      <t>|</t>
    </r>
  </si>
  <si>
    <t xml:space="preserve">Calcul intermédiaire </t>
  </si>
  <si>
    <t xml:space="preserve">Courant de marée </t>
  </si>
  <si>
    <t>Courant lié au vent</t>
  </si>
  <si>
    <t xml:space="preserve">cf.Vecteur courant </t>
  </si>
  <si>
    <t xml:space="preserve"> ------</t>
  </si>
  <si>
    <t>Valeur minimum 0,1m/s</t>
  </si>
  <si>
    <t xml:space="preserve">Profondeur plongée &lt; profondeur site </t>
  </si>
  <si>
    <t xml:space="preserve">Eau de mer </t>
  </si>
  <si>
    <t xml:space="preserve">Air au niveau de la mer </t>
  </si>
  <si>
    <r>
      <t>Courant résultant V</t>
    </r>
    <r>
      <rPr>
        <vertAlign val="subscript"/>
        <sz val="14"/>
        <color theme="1"/>
        <rFont val="Arial"/>
        <family val="2"/>
      </rPr>
      <t>marée</t>
    </r>
    <r>
      <rPr>
        <sz val="14"/>
        <color theme="1"/>
        <rFont val="Arial"/>
        <family val="2"/>
      </rPr>
      <t xml:space="preserve"> +V</t>
    </r>
    <r>
      <rPr>
        <vertAlign val="subscript"/>
        <sz val="14"/>
        <color theme="1"/>
        <rFont val="Arial"/>
        <family val="2"/>
      </rPr>
      <t>E</t>
    </r>
    <r>
      <rPr>
        <sz val="14"/>
        <color theme="1"/>
        <rFont val="Arial"/>
        <family val="2"/>
      </rPr>
      <t>+V</t>
    </r>
    <r>
      <rPr>
        <vertAlign val="subscript"/>
        <sz val="14"/>
        <color theme="1"/>
        <rFont val="Arial"/>
        <family val="2"/>
      </rPr>
      <t>G</t>
    </r>
    <r>
      <rPr>
        <sz val="14"/>
        <color theme="1"/>
        <rFont val="Arial"/>
        <family val="2"/>
      </rPr>
      <t xml:space="preserve"> </t>
    </r>
    <r>
      <rPr>
        <sz val="14"/>
        <color theme="3" tint="0.499984740745262"/>
        <rFont val="Arial"/>
        <family val="2"/>
      </rPr>
      <t>Pour calculer le courant résultant  en surface  mettre zéro pour la profondeurde plongée (z)</t>
    </r>
  </si>
  <si>
    <r>
      <t>V</t>
    </r>
    <r>
      <rPr>
        <vertAlign val="subscript"/>
        <sz val="14"/>
        <color theme="1"/>
        <rFont val="Aptos Narrow"/>
        <family val="2"/>
        <scheme val="minor"/>
      </rPr>
      <t xml:space="preserve">Leeway </t>
    </r>
    <r>
      <rPr>
        <sz val="14"/>
        <color theme="1"/>
        <rFont val="Aptos Narrow"/>
        <family val="2"/>
        <scheme val="minor"/>
      </rPr>
      <t>- Pos.verticale</t>
    </r>
  </si>
  <si>
    <r>
      <t>V</t>
    </r>
    <r>
      <rPr>
        <vertAlign val="subscript"/>
        <sz val="14"/>
        <color theme="1"/>
        <rFont val="Aptos Narrow"/>
        <family val="2"/>
        <scheme val="minor"/>
      </rPr>
      <t xml:space="preserve">Leeway </t>
    </r>
    <r>
      <rPr>
        <sz val="14"/>
        <color theme="1"/>
        <rFont val="Aptos Narrow"/>
        <family val="2"/>
        <scheme val="minor"/>
      </rPr>
      <t>- Pos.horizontale</t>
    </r>
  </si>
  <si>
    <t xml:space="preserve">Direction par rapport au vent </t>
  </si>
  <si>
    <t xml:space="preserve">Résultante à la prof.de plongée  </t>
  </si>
  <si>
    <r>
      <t>V</t>
    </r>
    <r>
      <rPr>
        <vertAlign val="subscript"/>
        <sz val="14"/>
        <color theme="1"/>
        <rFont val="Aptos Narrow"/>
        <family val="2"/>
        <scheme val="minor"/>
      </rPr>
      <t xml:space="preserve">Leeway </t>
    </r>
    <r>
      <rPr>
        <sz val="14"/>
        <color theme="1"/>
        <rFont val="Aptos Narrow"/>
        <family val="2"/>
        <scheme val="minor"/>
      </rPr>
      <t>- Moyen</t>
    </r>
  </si>
  <si>
    <t>Courant résultant  profondeur de plongée</t>
  </si>
  <si>
    <r>
      <t>V</t>
    </r>
    <r>
      <rPr>
        <vertAlign val="subscript"/>
        <sz val="14"/>
        <color theme="1"/>
        <rFont val="Arial"/>
        <family val="2"/>
      </rPr>
      <t xml:space="preserve">Leeway </t>
    </r>
  </si>
  <si>
    <r>
      <t>V</t>
    </r>
    <r>
      <rPr>
        <vertAlign val="subscript"/>
        <sz val="14"/>
        <color theme="1"/>
        <rFont val="Arial"/>
        <family val="2"/>
      </rPr>
      <t>0</t>
    </r>
  </si>
  <si>
    <t xml:space="preserve">Résultante dérive en surface </t>
  </si>
  <si>
    <t>Nœuds</t>
  </si>
  <si>
    <t xml:space="preserve">Azimut </t>
  </si>
  <si>
    <r>
      <t>Dérive  en surface V</t>
    </r>
    <r>
      <rPr>
        <vertAlign val="subscript"/>
        <sz val="16"/>
        <color theme="1"/>
        <rFont val="Aptos Narrow"/>
        <family val="2"/>
        <scheme val="minor"/>
      </rPr>
      <t>Leeway</t>
    </r>
  </si>
  <si>
    <r>
      <rPr>
        <sz val="14"/>
        <color theme="1"/>
        <rFont val="Arial"/>
        <family val="2"/>
      </rPr>
      <t>Dérive plongeur en surface V</t>
    </r>
    <r>
      <rPr>
        <vertAlign val="subscript"/>
        <sz val="14"/>
        <color theme="1"/>
        <rFont val="Arial"/>
        <family val="2"/>
      </rPr>
      <t>marée</t>
    </r>
    <r>
      <rPr>
        <sz val="14"/>
        <color theme="1"/>
        <rFont val="Arial"/>
        <family val="2"/>
      </rPr>
      <t>+V</t>
    </r>
    <r>
      <rPr>
        <vertAlign val="subscript"/>
        <sz val="14"/>
        <color theme="1"/>
        <rFont val="Arial"/>
        <family val="2"/>
      </rPr>
      <t>0</t>
    </r>
    <r>
      <rPr>
        <sz val="14"/>
        <color theme="1"/>
        <rFont val="Arial"/>
        <family val="2"/>
      </rPr>
      <t>+V</t>
    </r>
    <r>
      <rPr>
        <vertAlign val="subscript"/>
        <sz val="14"/>
        <color theme="1"/>
        <rFont val="Arial"/>
        <family val="2"/>
      </rPr>
      <t>G</t>
    </r>
    <r>
      <rPr>
        <sz val="14"/>
        <color theme="1"/>
        <rFont val="Arial"/>
        <family val="2"/>
      </rPr>
      <t>+V</t>
    </r>
    <r>
      <rPr>
        <vertAlign val="subscript"/>
        <sz val="14"/>
        <color theme="1"/>
        <rFont val="Arial"/>
        <family val="2"/>
      </rPr>
      <t>Leeway</t>
    </r>
  </si>
  <si>
    <t xml:space="preserve">Estimation vecteur de dérive en surface </t>
  </si>
  <si>
    <t xml:space="preserve">Carrés violet:dérive plongeur en surface </t>
  </si>
  <si>
    <t>Point rouge: courant résultant profondeur de plongée</t>
  </si>
  <si>
    <t>Beaufort</t>
  </si>
  <si>
    <t>1-5</t>
  </si>
  <si>
    <t>6-11</t>
  </si>
  <si>
    <t>12-19</t>
  </si>
  <si>
    <t>20-28</t>
  </si>
  <si>
    <t>29-38</t>
  </si>
  <si>
    <t>39-49</t>
  </si>
  <si>
    <t>50-61</t>
  </si>
  <si>
    <t>62-74</t>
  </si>
  <si>
    <t>75-88</t>
  </si>
  <si>
    <t>89-102</t>
  </si>
  <si>
    <t>103-117</t>
  </si>
  <si>
    <t>=&gt;118</t>
  </si>
  <si>
    <t>1-3</t>
  </si>
  <si>
    <t>4-6</t>
  </si>
  <si>
    <t>7-10</t>
  </si>
  <si>
    <t>11-16</t>
  </si>
  <si>
    <t>17-21</t>
  </si>
  <si>
    <t>22-27</t>
  </si>
  <si>
    <t>28-33</t>
  </si>
  <si>
    <t>34-40</t>
  </si>
  <si>
    <t>41-47</t>
  </si>
  <si>
    <t>48-55</t>
  </si>
  <si>
    <t>56-63</t>
  </si>
  <si>
    <t>=&gt;64</t>
  </si>
  <si>
    <t>0,3-1,5</t>
  </si>
  <si>
    <t>Calme</t>
  </si>
  <si>
    <t>Ridée</t>
  </si>
  <si>
    <t>Peu agitée</t>
  </si>
  <si>
    <t>Agitée</t>
  </si>
  <si>
    <t>Très forte</t>
  </si>
  <si>
    <t>Grosse</t>
  </si>
  <si>
    <t>Très grosse</t>
  </si>
  <si>
    <t>Enorme</t>
  </si>
  <si>
    <t>Etat de la mer</t>
  </si>
  <si>
    <t>1,6-3,3</t>
  </si>
  <si>
    <t>3,4-5,4</t>
  </si>
  <si>
    <t>5,5-7,9</t>
  </si>
  <si>
    <t>8,0-10,7</t>
  </si>
  <si>
    <t>13,9-17,1</t>
  </si>
  <si>
    <t>10,8-13,8</t>
  </si>
  <si>
    <t>17,2-20,7</t>
  </si>
  <si>
    <t>20,8-24,4</t>
  </si>
  <si>
    <t>24,5-28,4</t>
  </si>
  <si>
    <t>28,5-32,6</t>
  </si>
  <si>
    <t>=&gt;32,7</t>
  </si>
  <si>
    <t>Vagues (m)</t>
  </si>
  <si>
    <t>=&gt;14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</si>
</sst>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Aptos Narrow"/>
      <family val="2"/>
      <scheme val="minor"/>
    </font>
    <font>
      <vertAlign val="superscript"/>
      <sz val="14"/>
      <color theme="1"/>
      <name val="Arial"/>
      <family val="2"/>
    </font>
    <font>
      <sz val="14"/>
      <color theme="1"/>
      <name val="Aptos Narrow"/>
      <family val="2"/>
    </font>
    <font>
      <vertAlign val="subscript"/>
      <sz val="14"/>
      <color theme="1"/>
      <name val="Arial"/>
      <family val="2"/>
    </font>
    <font>
      <b/>
      <i/>
      <sz val="14"/>
      <color theme="1"/>
      <name val="Arial"/>
      <family val="2"/>
    </font>
    <font>
      <sz val="14"/>
      <color rgb="FFFF0000"/>
      <name val="Arial"/>
      <family val="2"/>
    </font>
    <font>
      <b/>
      <sz val="16"/>
      <color theme="1"/>
      <name val="Arial"/>
      <family val="2"/>
    </font>
    <font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ptos Narrow"/>
      <family val="2"/>
      <scheme val="minor"/>
    </font>
    <font>
      <vertAlign val="superscript"/>
      <sz val="10"/>
      <color theme="1"/>
      <name val="Arial"/>
      <family val="2"/>
    </font>
    <font>
      <u/>
      <sz val="11"/>
      <color theme="1"/>
      <name val="Arial"/>
      <family val="2"/>
    </font>
    <font>
      <b/>
      <sz val="16"/>
      <color theme="3" tint="0.249977111117893"/>
      <name val="Arial"/>
      <family val="2"/>
    </font>
    <font>
      <b/>
      <sz val="20"/>
      <color theme="1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2"/>
      <color theme="3" tint="0.499984740745262"/>
      <name val="Arial"/>
      <family val="2"/>
    </font>
    <font>
      <sz val="14"/>
      <color theme="3" tint="0.499984740745262"/>
      <name val="Arial"/>
      <family val="2"/>
    </font>
    <font>
      <b/>
      <i/>
      <sz val="14"/>
      <color rgb="FFFF0000"/>
      <name val="Arial"/>
      <family val="2"/>
    </font>
    <font>
      <sz val="16"/>
      <color theme="1"/>
      <name val="Aptos Narrow"/>
      <family val="2"/>
      <scheme val="minor"/>
    </font>
    <font>
      <vertAlign val="subscript"/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vertAlign val="subscript"/>
      <sz val="16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/>
    <xf numFmtId="49" fontId="2" fillId="0" borderId="0" xfId="0" applyNumberFormat="1" applyFont="1" applyAlignment="1">
      <alignment horizontal="right" vertical="center"/>
    </xf>
    <xf numFmtId="49" fontId="5" fillId="0" borderId="0" xfId="0" applyNumberFormat="1" applyFont="1"/>
    <xf numFmtId="49" fontId="0" fillId="0" borderId="0" xfId="0" applyNumberFormat="1"/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9" fontId="2" fillId="0" borderId="2" xfId="0" applyNumberFormat="1" applyFont="1" applyBorder="1"/>
    <xf numFmtId="1" fontId="4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9" fontId="2" fillId="0" borderId="0" xfId="0" applyNumberFormat="1" applyFont="1" applyAlignment="1">
      <alignment vertical="center"/>
    </xf>
    <xf numFmtId="2" fontId="24" fillId="0" borderId="2" xfId="0" applyNumberFormat="1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2" fontId="24" fillId="0" borderId="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textRotation="90"/>
    </xf>
    <xf numFmtId="0" fontId="27" fillId="0" borderId="0" xfId="0" applyFont="1"/>
    <xf numFmtId="0" fontId="28" fillId="0" borderId="0" xfId="0" applyFont="1"/>
    <xf numFmtId="0" fontId="5" fillId="0" borderId="0" xfId="0" applyFont="1" applyProtection="1"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164" fontId="16" fillId="0" borderId="0" xfId="0" applyNumberFormat="1" applyFont="1" applyAlignment="1" applyProtection="1">
      <alignment horizontal="center" vertical="center"/>
      <protection hidden="1"/>
    </xf>
    <xf numFmtId="165" fontId="16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1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/>
    <xf numFmtId="1" fontId="5" fillId="0" borderId="2" xfId="0" applyNumberFormat="1" applyFont="1" applyBorder="1" applyAlignment="1">
      <alignment horizontal="left"/>
    </xf>
    <xf numFmtId="166" fontId="0" fillId="0" borderId="1" xfId="0" applyNumberFormat="1" applyBorder="1" applyAlignment="1">
      <alignment horizontal="center" vertical="top"/>
    </xf>
    <xf numFmtId="2" fontId="15" fillId="0" borderId="2" xfId="0" applyNumberFormat="1" applyFont="1" applyBorder="1" applyAlignment="1">
      <alignment horizontal="center"/>
    </xf>
    <xf numFmtId="1" fontId="31" fillId="0" borderId="2" xfId="0" applyNumberFormat="1" applyFont="1" applyBorder="1"/>
    <xf numFmtId="1" fontId="31" fillId="0" borderId="2" xfId="0" applyNumberFormat="1" applyFont="1" applyBorder="1" applyAlignment="1">
      <alignment horizontal="left"/>
    </xf>
    <xf numFmtId="1" fontId="10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2" fontId="10" fillId="0" borderId="2" xfId="0" applyNumberFormat="1" applyFont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>
      <alignment vertical="top"/>
    </xf>
    <xf numFmtId="2" fontId="15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0" fontId="2" fillId="0" borderId="1" xfId="0" applyFont="1" applyBorder="1"/>
    <xf numFmtId="49" fontId="2" fillId="3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49" fontId="2" fillId="6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top" wrapText="1"/>
    </xf>
    <xf numFmtId="0" fontId="26" fillId="0" borderId="0" xfId="0" applyFont="1" applyAlignment="1">
      <alignment horizontal="center" vertical="center"/>
    </xf>
    <xf numFmtId="0" fontId="21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23" fillId="2" borderId="0" xfId="0" applyFont="1" applyFill="1" applyAlignment="1">
      <alignment horizontal="center" vertical="center"/>
    </xf>
    <xf numFmtId="49" fontId="2" fillId="0" borderId="6" xfId="0" applyNumberFormat="1" applyFont="1" applyBorder="1"/>
    <xf numFmtId="49" fontId="2" fillId="0" borderId="7" xfId="0" applyNumberFormat="1" applyFont="1" applyBorder="1"/>
    <xf numFmtId="49" fontId="2" fillId="0" borderId="8" xfId="0" applyNumberFormat="1" applyFont="1" applyBorder="1"/>
    <xf numFmtId="49" fontId="2" fillId="0" borderId="3" xfId="0" applyNumberFormat="1" applyFont="1" applyBorder="1"/>
    <xf numFmtId="49" fontId="2" fillId="0" borderId="4" xfId="0" applyNumberFormat="1" applyFont="1" applyBorder="1"/>
    <xf numFmtId="49" fontId="2" fillId="0" borderId="5" xfId="0" applyNumberFormat="1" applyFont="1" applyBorder="1"/>
    <xf numFmtId="0" fontId="0" fillId="0" borderId="2" xfId="0" applyBorder="1" applyAlignment="1">
      <alignment horizontal="left" vertical="center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rgbClr val="FF0000"/>
                </a:solidFill>
              </a:rPr>
              <a:t>Vecteur courant (m/s)</a:t>
            </a:r>
          </a:p>
          <a:p>
            <a:pPr>
              <a:defRPr b="1">
                <a:solidFill>
                  <a:srgbClr val="FF0000"/>
                </a:solidFill>
              </a:defRPr>
            </a:pPr>
            <a:endParaRPr lang="fr-FR" sz="1000" b="1">
              <a:solidFill>
                <a:srgbClr val="FF0000"/>
              </a:solidFill>
            </a:endParaRPr>
          </a:p>
          <a:p>
            <a:pPr>
              <a:defRPr b="1">
                <a:solidFill>
                  <a:srgbClr val="FF0000"/>
                </a:solidFill>
              </a:defRPr>
            </a:pPr>
            <a:r>
              <a:rPr lang="fr-FR" b="1">
                <a:solidFill>
                  <a:schemeClr val="tx1"/>
                </a:solidFill>
              </a:rPr>
              <a:t>Nord 0°</a:t>
            </a:r>
          </a:p>
        </c:rich>
      </c:tx>
      <c:layout>
        <c:manualLayout>
          <c:xMode val="edge"/>
          <c:yMode val="edge"/>
          <c:x val="0.30595660962619808"/>
          <c:y val="8.73461361884219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6.296522309711286E-2"/>
          <c:y val="0.17392694063926945"/>
          <c:w val="0.8778958880139982"/>
          <c:h val="0.78041095890410961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1"/>
            <c:marker>
              <c:symbol val="circle"/>
              <c:size val="10"/>
              <c:spPr>
                <a:solidFill>
                  <a:srgbClr val="FF0000"/>
                </a:solidFill>
                <a:ln w="19050">
                  <a:solidFill>
                    <a:srgbClr val="FF0000"/>
                  </a:solidFill>
                  <a:miter lim="800000"/>
                </a:ln>
                <a:effectLst/>
              </c:spPr>
            </c:marker>
            <c:bubble3D val="0"/>
            <c:spPr>
              <a:ln w="25400" cap="flat">
                <a:solidFill>
                  <a:srgbClr val="FF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9C-4CEA-BC90-7FC81146499B}"/>
              </c:ext>
            </c:extLst>
          </c:dPt>
          <c:dPt>
            <c:idx val="2"/>
            <c:marker>
              <c:symbol val="square"/>
              <c:size val="10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433-4DFC-B188-00DAF271E44A}"/>
              </c:ext>
            </c:extLst>
          </c:dPt>
          <c:dPt>
            <c:idx val="3"/>
            <c:marker>
              <c:symbol val="x"/>
              <c:size val="10"/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433-4DFC-B188-00DAF271E44A}"/>
              </c:ext>
            </c:extLst>
          </c:dPt>
          <c:xVal>
            <c:numRef>
              <c:f>Feuil1!$H$51:$H$54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0.59436849050876017</c:v>
                </c:pt>
                <c:pt idx="2">
                  <c:v>0.27695080028645136</c:v>
                </c:pt>
                <c:pt idx="3">
                  <c:v>0.36200284219588075</c:v>
                </c:pt>
              </c:numCache>
            </c:numRef>
          </c:xVal>
          <c:yVal>
            <c:numRef>
              <c:f>Feuil1!$I$51:$I$54</c:f>
              <c:numCache>
                <c:formatCode>0.000</c:formatCode>
                <c:ptCount val="4"/>
                <c:pt idx="0" formatCode="General">
                  <c:v>0</c:v>
                </c:pt>
                <c:pt idx="1">
                  <c:v>0.18735766607992635</c:v>
                </c:pt>
                <c:pt idx="2">
                  <c:v>0.29612501219756981</c:v>
                </c:pt>
                <c:pt idx="3">
                  <c:v>0.44343947007217899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D7-44C0-B163-8CF7674A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9347496"/>
        <c:axId val="619351720"/>
      </c:scatterChart>
      <c:valAx>
        <c:axId val="619347496"/>
        <c:scaling>
          <c:orientation val="minMax"/>
          <c:max val="1.5"/>
          <c:min val="-1.5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9351720"/>
        <c:crosses val="autoZero"/>
        <c:crossBetween val="midCat"/>
        <c:minorUnit val="0.25"/>
      </c:valAx>
      <c:valAx>
        <c:axId val="619351720"/>
        <c:scaling>
          <c:orientation val="minMax"/>
          <c:max val="1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193474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33</xdr:row>
      <xdr:rowOff>7620</xdr:rowOff>
    </xdr:from>
    <xdr:to>
      <xdr:col>15</xdr:col>
      <xdr:colOff>777240</xdr:colOff>
      <xdr:row>52</xdr:row>
      <xdr:rowOff>152400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B0CEF63-66BC-9135-4BDB-299AFE4BD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530BB-35BB-4778-AB03-232A4609B694}">
  <dimension ref="A1:T55"/>
  <sheetViews>
    <sheetView tabSelected="1" topLeftCell="E1" zoomScaleNormal="100" workbookViewId="0">
      <selection activeCell="E17" sqref="E17"/>
    </sheetView>
  </sheetViews>
  <sheetFormatPr baseColWidth="10" defaultRowHeight="14.4" x14ac:dyDescent="0.3"/>
  <cols>
    <col min="1" max="1" width="25" customWidth="1"/>
    <col min="2" max="2" width="9.77734375" customWidth="1"/>
    <col min="4" max="4" width="14.33203125" customWidth="1"/>
    <col min="8" max="8" width="11.5546875" customWidth="1"/>
    <col min="9" max="9" width="19.109375" customWidth="1"/>
    <col min="10" max="10" width="11.33203125" customWidth="1"/>
    <col min="11" max="11" width="13.33203125" customWidth="1"/>
    <col min="12" max="12" width="12.44140625" customWidth="1"/>
    <col min="13" max="13" width="11.6640625" customWidth="1"/>
    <col min="14" max="14" width="19" customWidth="1"/>
    <col min="15" max="15" width="15" customWidth="1"/>
    <col min="16" max="16" width="22.21875" customWidth="1"/>
  </cols>
  <sheetData>
    <row r="1" spans="1:20" ht="21.6" thickBot="1" x14ac:dyDescent="0.4">
      <c r="A1" s="145" t="s">
        <v>73</v>
      </c>
      <c r="B1" s="145"/>
      <c r="C1" s="145"/>
      <c r="D1" s="145"/>
      <c r="E1" s="145"/>
      <c r="I1" s="5"/>
      <c r="J1" s="76" t="s">
        <v>98</v>
      </c>
      <c r="K1" s="76" t="s">
        <v>5</v>
      </c>
      <c r="L1" s="76" t="s">
        <v>7</v>
      </c>
      <c r="M1" s="76" t="s">
        <v>91</v>
      </c>
      <c r="N1" s="77" t="s">
        <v>132</v>
      </c>
      <c r="O1" s="78" t="s">
        <v>144</v>
      </c>
      <c r="P1" s="5"/>
      <c r="Q1" s="5"/>
      <c r="R1" s="5"/>
      <c r="S1" s="5"/>
      <c r="T1" s="5"/>
    </row>
    <row r="2" spans="1:20" ht="18.600000000000001" thickBot="1" x14ac:dyDescent="0.4">
      <c r="A2" s="3" t="s">
        <v>0</v>
      </c>
      <c r="B2" s="3"/>
      <c r="C2" s="3"/>
      <c r="D2" s="3"/>
      <c r="E2" s="3"/>
      <c r="F2" s="2"/>
      <c r="G2" s="2"/>
      <c r="H2" s="2"/>
      <c r="I2" s="2"/>
      <c r="J2" s="79">
        <v>1</v>
      </c>
      <c r="K2" s="82" t="s">
        <v>123</v>
      </c>
      <c r="L2" s="82" t="s">
        <v>99</v>
      </c>
      <c r="M2" s="82" t="s">
        <v>111</v>
      </c>
      <c r="N2" s="83" t="s">
        <v>124</v>
      </c>
      <c r="O2" s="84">
        <v>0</v>
      </c>
      <c r="P2" s="5"/>
      <c r="Q2" s="5"/>
      <c r="R2" s="5"/>
      <c r="S2" s="5"/>
      <c r="T2" s="5"/>
    </row>
    <row r="3" spans="1:20" ht="18.600000000000001" thickBot="1" x14ac:dyDescent="0.4">
      <c r="A3" s="146" t="s">
        <v>3</v>
      </c>
      <c r="B3" s="146"/>
      <c r="C3" s="146"/>
      <c r="D3" s="146"/>
      <c r="E3" s="53">
        <v>70</v>
      </c>
      <c r="F3" s="2"/>
      <c r="G3" s="2"/>
      <c r="H3" s="2"/>
      <c r="I3" s="2"/>
      <c r="J3" s="79">
        <v>2</v>
      </c>
      <c r="K3" s="82" t="s">
        <v>133</v>
      </c>
      <c r="L3" s="82" t="s">
        <v>100</v>
      </c>
      <c r="M3" s="82" t="s">
        <v>112</v>
      </c>
      <c r="N3" s="148" t="s">
        <v>125</v>
      </c>
      <c r="O3" s="149">
        <v>0.2</v>
      </c>
      <c r="P3" s="5"/>
      <c r="Q3" s="5"/>
      <c r="R3" s="5"/>
      <c r="S3" s="5"/>
      <c r="T3" s="5"/>
    </row>
    <row r="4" spans="1:20" ht="18.600000000000001" thickBot="1" x14ac:dyDescent="0.4">
      <c r="A4" s="146" t="s">
        <v>1</v>
      </c>
      <c r="B4" s="146"/>
      <c r="C4" s="146"/>
      <c r="D4" s="146"/>
      <c r="E4" s="54">
        <v>1.5</v>
      </c>
      <c r="F4" s="2" t="s">
        <v>6</v>
      </c>
      <c r="G4" s="2"/>
      <c r="I4" s="2"/>
      <c r="J4" s="79">
        <v>3</v>
      </c>
      <c r="K4" s="82" t="s">
        <v>134</v>
      </c>
      <c r="L4" s="82" t="s">
        <v>101</v>
      </c>
      <c r="M4" s="82" t="s">
        <v>113</v>
      </c>
      <c r="N4" s="148"/>
      <c r="O4" s="149"/>
      <c r="P4" s="89"/>
      <c r="Q4" s="5"/>
      <c r="R4" s="5"/>
      <c r="S4" s="5"/>
      <c r="T4" s="5"/>
    </row>
    <row r="5" spans="1:20" ht="18.600000000000001" thickBot="1" x14ac:dyDescent="0.4">
      <c r="A5" s="146" t="s">
        <v>2</v>
      </c>
      <c r="B5" s="146"/>
      <c r="C5" s="146"/>
      <c r="D5" s="146"/>
      <c r="E5" s="54">
        <v>1.9</v>
      </c>
      <c r="F5" s="2" t="s">
        <v>6</v>
      </c>
      <c r="G5" s="2"/>
      <c r="I5" s="2"/>
      <c r="J5" s="79">
        <v>4</v>
      </c>
      <c r="K5" s="82" t="s">
        <v>135</v>
      </c>
      <c r="L5" s="82" t="s">
        <v>102</v>
      </c>
      <c r="M5" s="82" t="s">
        <v>114</v>
      </c>
      <c r="N5" s="83" t="s">
        <v>126</v>
      </c>
      <c r="O5" s="84">
        <v>0.5</v>
      </c>
      <c r="P5" s="89"/>
      <c r="Q5" s="5"/>
      <c r="R5" s="5"/>
      <c r="S5" s="5"/>
      <c r="T5" s="5"/>
    </row>
    <row r="6" spans="1:20" ht="18.600000000000001" thickBot="1" x14ac:dyDescent="0.4">
      <c r="A6" s="122" t="s">
        <v>45</v>
      </c>
      <c r="B6" s="122"/>
      <c r="C6" s="122"/>
      <c r="D6" s="122"/>
      <c r="E6" s="53">
        <v>120</v>
      </c>
      <c r="F6" s="2" t="s">
        <v>46</v>
      </c>
      <c r="G6" s="2"/>
      <c r="H6" s="2"/>
      <c r="I6" s="2"/>
      <c r="J6" s="80">
        <v>5</v>
      </c>
      <c r="K6" s="82" t="s">
        <v>136</v>
      </c>
      <c r="L6" s="82" t="s">
        <v>103</v>
      </c>
      <c r="M6" s="82" t="s">
        <v>115</v>
      </c>
      <c r="N6" s="148" t="s">
        <v>127</v>
      </c>
      <c r="O6" s="149">
        <v>1.25</v>
      </c>
      <c r="P6" s="5"/>
      <c r="Q6" s="5"/>
      <c r="R6" s="5"/>
      <c r="S6" s="5"/>
      <c r="T6" s="5"/>
    </row>
    <row r="7" spans="1:20" ht="18.600000000000001" thickBot="1" x14ac:dyDescent="0.4">
      <c r="A7" s="128"/>
      <c r="B7" s="128"/>
      <c r="C7" s="128"/>
      <c r="D7" s="128"/>
      <c r="E7" s="8"/>
      <c r="F7" s="2"/>
      <c r="G7" s="2"/>
      <c r="H7" s="2"/>
      <c r="I7" s="2"/>
      <c r="J7" s="87">
        <v>6</v>
      </c>
      <c r="K7" s="82" t="s">
        <v>138</v>
      </c>
      <c r="L7" s="82" t="s">
        <v>104</v>
      </c>
      <c r="M7" s="82" t="s">
        <v>116</v>
      </c>
      <c r="N7" s="148"/>
      <c r="O7" s="149"/>
      <c r="P7" s="5"/>
      <c r="Q7" s="5"/>
      <c r="R7" s="5"/>
      <c r="S7" s="5"/>
      <c r="T7" s="5"/>
    </row>
    <row r="8" spans="1:20" ht="18.600000000000001" thickBot="1" x14ac:dyDescent="0.4">
      <c r="A8" s="129" t="s">
        <v>44</v>
      </c>
      <c r="B8" s="129"/>
      <c r="C8" s="129"/>
      <c r="D8" s="129"/>
      <c r="E8" s="31" t="s">
        <v>6</v>
      </c>
      <c r="F8" s="32" t="s">
        <v>5</v>
      </c>
      <c r="G8" s="32" t="s">
        <v>7</v>
      </c>
      <c r="H8" s="12"/>
      <c r="I8" s="2"/>
      <c r="J8" s="81">
        <v>7</v>
      </c>
      <c r="K8" s="82" t="s">
        <v>137</v>
      </c>
      <c r="L8" s="82" t="s">
        <v>105</v>
      </c>
      <c r="M8" s="82" t="s">
        <v>117</v>
      </c>
      <c r="N8" s="148" t="s">
        <v>128</v>
      </c>
      <c r="O8" s="84">
        <v>2.5</v>
      </c>
      <c r="P8" s="5"/>
      <c r="Q8" s="5"/>
      <c r="R8" s="5"/>
      <c r="S8" s="5"/>
      <c r="T8" s="5"/>
    </row>
    <row r="9" spans="1:20" ht="18.600000000000001" thickBot="1" x14ac:dyDescent="0.4">
      <c r="A9" s="129"/>
      <c r="B9" s="129"/>
      <c r="C9" s="129"/>
      <c r="D9" s="129"/>
      <c r="E9" s="31">
        <f>+E4+((E3-45)*(E5-E4)/50)</f>
        <v>1.7</v>
      </c>
      <c r="F9" s="31">
        <f>+$E$9*0.514444</f>
        <v>0.87455479999999997</v>
      </c>
      <c r="G9" s="31">
        <f>+$F$9*3.6</f>
        <v>3.1483972799999997</v>
      </c>
      <c r="H9" s="23"/>
      <c r="I9" s="2"/>
      <c r="J9" s="81">
        <v>8</v>
      </c>
      <c r="K9" s="82" t="s">
        <v>139</v>
      </c>
      <c r="L9" s="82" t="s">
        <v>106</v>
      </c>
      <c r="M9" s="82" t="s">
        <v>118</v>
      </c>
      <c r="N9" s="148"/>
      <c r="O9" s="84">
        <v>4</v>
      </c>
      <c r="P9" s="5"/>
      <c r="Q9" s="5"/>
      <c r="R9" s="5"/>
      <c r="S9" s="5"/>
      <c r="T9" s="5"/>
    </row>
    <row r="10" spans="1:20" ht="18.600000000000001" thickBot="1" x14ac:dyDescent="0.4">
      <c r="A10" s="74"/>
      <c r="B10" s="74"/>
      <c r="C10" s="74"/>
      <c r="D10" s="74"/>
      <c r="E10" s="75"/>
      <c r="F10" s="75"/>
      <c r="G10" s="75"/>
      <c r="H10" s="23"/>
      <c r="I10" s="2"/>
      <c r="J10" s="81">
        <v>9</v>
      </c>
      <c r="K10" s="82" t="s">
        <v>140</v>
      </c>
      <c r="L10" s="82" t="s">
        <v>107</v>
      </c>
      <c r="M10" s="82" t="s">
        <v>119</v>
      </c>
      <c r="N10" s="83" t="s">
        <v>129</v>
      </c>
      <c r="O10" s="84">
        <v>6</v>
      </c>
      <c r="P10" s="5"/>
      <c r="Q10" s="5"/>
      <c r="R10" s="5"/>
      <c r="S10" s="5"/>
      <c r="T10" s="5"/>
    </row>
    <row r="11" spans="1:20" ht="18.600000000000001" thickBot="1" x14ac:dyDescent="0.4">
      <c r="A11" s="121"/>
      <c r="B11" s="121"/>
      <c r="C11" s="121"/>
      <c r="D11" s="121"/>
      <c r="E11" s="9"/>
      <c r="F11" s="2"/>
      <c r="G11" s="2"/>
      <c r="H11" s="2"/>
      <c r="I11" s="2"/>
      <c r="J11" s="81">
        <v>10</v>
      </c>
      <c r="K11" s="82" t="s">
        <v>141</v>
      </c>
      <c r="L11" s="82" t="s">
        <v>108</v>
      </c>
      <c r="M11" s="82" t="s">
        <v>120</v>
      </c>
      <c r="N11" s="148" t="s">
        <v>130</v>
      </c>
      <c r="O11" s="84">
        <v>9</v>
      </c>
      <c r="P11" s="5"/>
      <c r="Q11" s="5"/>
      <c r="R11" s="5"/>
      <c r="S11" s="5"/>
      <c r="T11" s="5"/>
    </row>
    <row r="12" spans="1:20" ht="21.6" thickBot="1" x14ac:dyDescent="0.4">
      <c r="A12" s="145" t="s">
        <v>74</v>
      </c>
      <c r="B12" s="147"/>
      <c r="C12" s="147"/>
      <c r="D12" s="147"/>
      <c r="E12" s="147"/>
      <c r="F12" s="2"/>
      <c r="G12" s="2"/>
      <c r="H12" s="2"/>
      <c r="I12" s="2"/>
      <c r="J12" s="81">
        <v>11</v>
      </c>
      <c r="K12" s="82" t="s">
        <v>142</v>
      </c>
      <c r="L12" s="82" t="s">
        <v>109</v>
      </c>
      <c r="M12" s="82" t="s">
        <v>121</v>
      </c>
      <c r="N12" s="148"/>
      <c r="O12" s="84">
        <v>14</v>
      </c>
      <c r="P12" s="5"/>
      <c r="Q12" s="88"/>
      <c r="R12" s="5"/>
      <c r="S12" s="5"/>
      <c r="T12" s="5"/>
    </row>
    <row r="13" spans="1:20" ht="18.600000000000001" thickBot="1" x14ac:dyDescent="0.4">
      <c r="A13" s="3" t="s">
        <v>8</v>
      </c>
      <c r="B13" s="3"/>
      <c r="C13" s="3"/>
      <c r="D13" s="3"/>
      <c r="E13" s="2"/>
      <c r="F13" s="2"/>
      <c r="G13" s="2"/>
      <c r="H13" s="2"/>
      <c r="I13" s="3"/>
      <c r="J13" s="81">
        <v>12</v>
      </c>
      <c r="K13" s="82" t="s">
        <v>143</v>
      </c>
      <c r="L13" s="82" t="s">
        <v>110</v>
      </c>
      <c r="M13" s="82" t="s">
        <v>122</v>
      </c>
      <c r="N13" s="85" t="s">
        <v>131</v>
      </c>
      <c r="O13" s="86" t="s">
        <v>145</v>
      </c>
      <c r="P13" s="5"/>
      <c r="Q13" s="5"/>
      <c r="R13" s="5"/>
      <c r="S13" s="5"/>
      <c r="T13" s="5"/>
    </row>
    <row r="14" spans="1:20" ht="18" x14ac:dyDescent="0.35">
      <c r="A14" s="122" t="s">
        <v>11</v>
      </c>
      <c r="B14" s="122"/>
      <c r="C14" s="122"/>
      <c r="D14" s="122"/>
      <c r="E14" s="55">
        <v>20</v>
      </c>
      <c r="F14" s="2" t="s">
        <v>5</v>
      </c>
      <c r="G14" s="124" t="s">
        <v>77</v>
      </c>
      <c r="H14" s="124"/>
      <c r="I14" s="121" t="s">
        <v>12</v>
      </c>
      <c r="J14" s="121"/>
      <c r="K14" s="121"/>
      <c r="L14" s="121"/>
      <c r="M14" s="12">
        <f>2*7.292*SIN(G17)/100000</f>
        <v>1.1333896701888464E-4</v>
      </c>
      <c r="N14" s="6"/>
      <c r="O14" s="5"/>
      <c r="P14" s="5"/>
      <c r="Q14" s="5"/>
      <c r="R14" s="5"/>
      <c r="S14" s="5"/>
      <c r="T14" s="5"/>
    </row>
    <row r="15" spans="1:20" ht="18" x14ac:dyDescent="0.35">
      <c r="A15" s="122" t="s">
        <v>24</v>
      </c>
      <c r="B15" s="122"/>
      <c r="C15" s="122"/>
      <c r="D15" s="122"/>
      <c r="E15" s="56">
        <v>300</v>
      </c>
      <c r="F15" s="2" t="s">
        <v>9</v>
      </c>
      <c r="G15" s="39"/>
      <c r="H15" s="2"/>
      <c r="I15" s="121" t="s">
        <v>22</v>
      </c>
      <c r="J15" s="121"/>
      <c r="K15" s="121"/>
      <c r="L15" s="121"/>
      <c r="M15" s="7">
        <f>1.3*E21*E14^2/1000</f>
        <v>0.67236000000000007</v>
      </c>
      <c r="N15" s="5" t="s">
        <v>23</v>
      </c>
      <c r="O15" s="5"/>
      <c r="P15" s="5"/>
      <c r="Q15" s="5"/>
      <c r="R15" s="5"/>
      <c r="S15" s="5"/>
      <c r="T15" s="5"/>
    </row>
    <row r="16" spans="1:20" s="18" customFormat="1" ht="55.05" customHeight="1" x14ac:dyDescent="0.35">
      <c r="A16" s="123" t="s">
        <v>38</v>
      </c>
      <c r="B16" s="123"/>
      <c r="C16" s="123"/>
      <c r="D16" s="123"/>
      <c r="E16" s="57">
        <v>350</v>
      </c>
      <c r="F16" s="33" t="s">
        <v>9</v>
      </c>
      <c r="G16" s="39"/>
      <c r="H16" s="15"/>
      <c r="I16" s="16"/>
      <c r="J16" s="16"/>
      <c r="K16" s="16"/>
      <c r="L16" s="16"/>
      <c r="M16" s="14"/>
      <c r="N16" s="17"/>
      <c r="O16" s="17"/>
      <c r="P16" s="17"/>
      <c r="Q16" s="17"/>
      <c r="R16" s="17"/>
      <c r="S16" s="17"/>
      <c r="T16" s="17"/>
    </row>
    <row r="17" spans="1:20" ht="18" x14ac:dyDescent="0.35">
      <c r="A17" s="122" t="s">
        <v>13</v>
      </c>
      <c r="B17" s="122"/>
      <c r="C17" s="122"/>
      <c r="D17" s="122"/>
      <c r="E17" s="56">
        <v>51</v>
      </c>
      <c r="F17" s="2" t="s">
        <v>9</v>
      </c>
      <c r="G17" s="2">
        <f>RADIANS(E17)</f>
        <v>0.89011791851710809</v>
      </c>
      <c r="H17" s="4" t="s">
        <v>14</v>
      </c>
      <c r="I17" s="13"/>
      <c r="J17" s="13"/>
      <c r="K17" s="73"/>
      <c r="L17" s="125" t="s">
        <v>72</v>
      </c>
      <c r="M17" s="125"/>
      <c r="N17" s="125"/>
      <c r="O17" s="42"/>
      <c r="P17" s="42"/>
      <c r="Q17" s="5"/>
      <c r="R17" s="5"/>
      <c r="S17" s="5"/>
      <c r="T17" s="5"/>
    </row>
    <row r="18" spans="1:20" ht="18" x14ac:dyDescent="0.35">
      <c r="A18" s="122" t="s">
        <v>18</v>
      </c>
      <c r="B18" s="122"/>
      <c r="C18" s="122"/>
      <c r="D18" s="122"/>
      <c r="E18" s="56">
        <v>20</v>
      </c>
      <c r="F18" s="2" t="s">
        <v>10</v>
      </c>
      <c r="G18" s="41" t="str">
        <f>IF(E18&lt;E19,FALSE,"OK")</f>
        <v>OK</v>
      </c>
      <c r="H18" s="11"/>
      <c r="I18" s="2"/>
      <c r="J18" s="2"/>
      <c r="K18" s="50"/>
      <c r="L18" s="43" t="s">
        <v>21</v>
      </c>
      <c r="M18" s="43">
        <f>1.25*E14/1000</f>
        <v>2.5000000000000001E-2</v>
      </c>
      <c r="N18" s="44"/>
      <c r="O18" s="44"/>
      <c r="P18" s="44"/>
      <c r="Q18" s="5"/>
      <c r="R18" s="5"/>
      <c r="S18" s="5"/>
      <c r="T18" s="5"/>
    </row>
    <row r="19" spans="1:20" ht="18" x14ac:dyDescent="0.35">
      <c r="A19" s="122" t="s">
        <v>25</v>
      </c>
      <c r="B19" s="122"/>
      <c r="C19" s="122"/>
      <c r="D19" s="122"/>
      <c r="E19" s="57">
        <v>15</v>
      </c>
      <c r="F19" s="2" t="s">
        <v>10</v>
      </c>
      <c r="G19" s="126" t="s">
        <v>78</v>
      </c>
      <c r="H19" s="126"/>
      <c r="I19" s="126"/>
      <c r="J19" s="2"/>
      <c r="K19" s="50"/>
      <c r="L19" s="45" t="s">
        <v>63</v>
      </c>
      <c r="M19" s="46">
        <f>0.1*M18/M14</f>
        <v>22.057727062074321</v>
      </c>
      <c r="N19" s="44" t="s">
        <v>10</v>
      </c>
      <c r="O19" s="44"/>
      <c r="P19" s="44"/>
      <c r="Q19" s="5"/>
      <c r="R19" s="5"/>
      <c r="S19" s="5"/>
      <c r="T19" s="5"/>
    </row>
    <row r="20" spans="1:20" ht="20.399999999999999" x14ac:dyDescent="0.35">
      <c r="A20" s="122" t="s">
        <v>16</v>
      </c>
      <c r="B20" s="122"/>
      <c r="C20" s="122"/>
      <c r="D20" s="122"/>
      <c r="E20" s="57">
        <v>1033</v>
      </c>
      <c r="F20" s="2" t="s">
        <v>15</v>
      </c>
      <c r="G20" s="127" t="s">
        <v>79</v>
      </c>
      <c r="H20" s="127"/>
      <c r="I20" s="40"/>
      <c r="J20" s="2"/>
      <c r="K20" s="50"/>
      <c r="L20" s="43" t="s">
        <v>19</v>
      </c>
      <c r="M20" s="47">
        <f>IF(E18&gt;M19,M18^2/(200*M14),M18*E18/20)</f>
        <v>2.5000000000000001E-2</v>
      </c>
      <c r="N20" s="44" t="s">
        <v>64</v>
      </c>
      <c r="O20" s="44"/>
      <c r="P20" s="44"/>
      <c r="Q20" s="5"/>
      <c r="R20" s="5"/>
      <c r="S20" s="5"/>
      <c r="T20" s="5"/>
    </row>
    <row r="21" spans="1:20" ht="20.399999999999999" x14ac:dyDescent="0.35">
      <c r="A21" s="122" t="s">
        <v>17</v>
      </c>
      <c r="B21" s="122"/>
      <c r="C21" s="122"/>
      <c r="D21" s="122"/>
      <c r="E21" s="57">
        <v>1.2929999999999999</v>
      </c>
      <c r="F21" s="2" t="s">
        <v>15</v>
      </c>
      <c r="G21" s="127" t="s">
        <v>80</v>
      </c>
      <c r="H21" s="127"/>
      <c r="I21" s="127"/>
      <c r="J21" s="2"/>
      <c r="K21" s="50"/>
      <c r="L21" s="43" t="s">
        <v>65</v>
      </c>
      <c r="M21" s="48">
        <f>0.00044*E14^2.55</f>
        <v>0.91427988591608267</v>
      </c>
      <c r="N21" s="44"/>
      <c r="O21" s="44"/>
      <c r="P21" s="44"/>
      <c r="Q21" s="5"/>
      <c r="R21" s="5"/>
      <c r="S21" s="5"/>
      <c r="T21" s="5"/>
    </row>
    <row r="22" spans="1:20" ht="18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50"/>
      <c r="L22" s="43" t="s">
        <v>66</v>
      </c>
      <c r="M22" s="48">
        <f>E21*M21/E20</f>
        <v>1.1443987342589495E-3</v>
      </c>
      <c r="N22" s="44"/>
      <c r="O22" s="44"/>
      <c r="P22" s="44"/>
      <c r="Q22" s="5"/>
      <c r="R22" s="5"/>
      <c r="S22" s="5"/>
      <c r="T22" s="5"/>
    </row>
    <row r="23" spans="1:20" ht="18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50"/>
      <c r="L23" s="43" t="s">
        <v>67</v>
      </c>
      <c r="M23" s="48">
        <f>M22/(M20*M14)^0.5</f>
        <v>0.67985725964833865</v>
      </c>
      <c r="N23" s="44"/>
      <c r="O23" s="44"/>
      <c r="P23" s="44"/>
      <c r="Q23" s="5"/>
      <c r="R23" s="5"/>
      <c r="S23" s="5"/>
      <c r="T23" s="5"/>
    </row>
    <row r="24" spans="1:20" ht="24.6" x14ac:dyDescent="0.35">
      <c r="A24" s="130" t="s">
        <v>4</v>
      </c>
      <c r="B24" s="130"/>
      <c r="C24" s="130"/>
      <c r="D24" s="130"/>
      <c r="E24" s="130"/>
      <c r="F24" s="130"/>
      <c r="G24" s="130"/>
      <c r="H24" s="130"/>
      <c r="I24" s="130"/>
      <c r="J24" s="2"/>
      <c r="K24" s="50"/>
      <c r="L24" s="45" t="s">
        <v>26</v>
      </c>
      <c r="M24" s="48">
        <f>-E19/E25</f>
        <v>-0.22732384526785229</v>
      </c>
      <c r="N24" s="44"/>
      <c r="O24" s="44"/>
      <c r="P24" s="44"/>
      <c r="Q24" s="5"/>
      <c r="R24" s="5"/>
      <c r="S24" s="5"/>
      <c r="T24" s="5"/>
    </row>
    <row r="25" spans="1:20" ht="18.600000000000001" thickBot="1" x14ac:dyDescent="0.4">
      <c r="A25" s="122" t="s">
        <v>20</v>
      </c>
      <c r="B25" s="122"/>
      <c r="C25" s="122"/>
      <c r="D25" s="122"/>
      <c r="E25" s="10">
        <f>3.1416*(2*M20/M14)^0.5</f>
        <v>65.985158672314924</v>
      </c>
      <c r="F25" s="2" t="s">
        <v>10</v>
      </c>
      <c r="G25" s="2"/>
      <c r="H25" s="2"/>
      <c r="I25" s="2"/>
      <c r="J25" s="2"/>
      <c r="K25" s="50"/>
      <c r="L25" s="45" t="s">
        <v>68</v>
      </c>
      <c r="M25" s="48">
        <f>EXP(M24)</f>
        <v>0.79666274505026657</v>
      </c>
      <c r="N25" s="44"/>
      <c r="O25" s="44"/>
      <c r="P25" s="44"/>
      <c r="Q25" s="5"/>
      <c r="R25" s="5"/>
      <c r="S25" s="5"/>
      <c r="T25" s="5"/>
    </row>
    <row r="26" spans="1:20" ht="19.8" customHeight="1" thickTop="1" thickBot="1" x14ac:dyDescent="0.4">
      <c r="A26" s="134" t="s">
        <v>34</v>
      </c>
      <c r="B26" s="135"/>
      <c r="C26" s="135"/>
      <c r="D26" s="136"/>
      <c r="E26" s="111" t="s">
        <v>29</v>
      </c>
      <c r="F26" s="111"/>
      <c r="G26" s="111"/>
      <c r="H26" s="90" t="s">
        <v>30</v>
      </c>
      <c r="I26" s="90"/>
      <c r="J26" s="2"/>
      <c r="K26" s="50"/>
      <c r="L26" s="45" t="s">
        <v>27</v>
      </c>
      <c r="M26" s="48">
        <f>+(M24)-(3.1416/4)</f>
        <v>-1.0127238452678522</v>
      </c>
      <c r="N26" s="44" t="s">
        <v>28</v>
      </c>
      <c r="O26" s="44"/>
      <c r="P26" s="44"/>
      <c r="Q26" s="5"/>
      <c r="R26" s="5"/>
      <c r="S26" s="5"/>
      <c r="T26" s="5"/>
    </row>
    <row r="27" spans="1:20" ht="19.2" thickTop="1" thickBot="1" x14ac:dyDescent="0.4">
      <c r="A27" s="131"/>
      <c r="B27" s="132"/>
      <c r="C27" s="132"/>
      <c r="D27" s="133"/>
      <c r="E27" s="20" t="s">
        <v>6</v>
      </c>
      <c r="F27" s="20" t="s">
        <v>5</v>
      </c>
      <c r="G27" s="20" t="s">
        <v>7</v>
      </c>
      <c r="H27" s="20" t="s">
        <v>31</v>
      </c>
      <c r="I27" s="21" t="s">
        <v>32</v>
      </c>
      <c r="J27" s="2"/>
      <c r="K27" s="50"/>
      <c r="L27" s="45" t="s">
        <v>69</v>
      </c>
      <c r="M27" s="48">
        <f>+$M$23*($M$25*COS($M$26))</f>
        <v>0.28681440030219174</v>
      </c>
      <c r="N27" s="44" t="s">
        <v>5</v>
      </c>
      <c r="O27" s="44"/>
      <c r="P27" s="44"/>
      <c r="Q27" s="5"/>
      <c r="R27" s="5"/>
      <c r="S27" s="5"/>
      <c r="T27" s="5"/>
    </row>
    <row r="28" spans="1:20" ht="21" thickTop="1" thickBot="1" x14ac:dyDescent="0.45">
      <c r="A28" s="22" t="s">
        <v>33</v>
      </c>
      <c r="B28" s="22"/>
      <c r="C28" s="22"/>
      <c r="D28" s="22"/>
      <c r="E28" s="34">
        <f>+F28*1.944</f>
        <v>1.3195738449011341</v>
      </c>
      <c r="F28" s="34">
        <f>+(((M23*0.706)^2)*2)^0.5</f>
        <v>0.67879313009317599</v>
      </c>
      <c r="G28" s="34">
        <f>+F28*3.6</f>
        <v>2.4436552683354336</v>
      </c>
      <c r="H28" s="35">
        <f>IF(E15+45&gt;360,E15+45-360,E15+45)</f>
        <v>345</v>
      </c>
      <c r="I28" s="36">
        <v>45</v>
      </c>
      <c r="J28" s="2"/>
      <c r="K28" s="50"/>
      <c r="L28" s="45" t="s">
        <v>70</v>
      </c>
      <c r="M28" s="48">
        <f>+$M$23*($M$25*SIN($M$26))</f>
        <v>-0.45944142290373213</v>
      </c>
      <c r="N28" s="44" t="s">
        <v>5</v>
      </c>
      <c r="O28" s="44"/>
      <c r="P28" s="44"/>
      <c r="Q28" s="5"/>
      <c r="R28" s="5"/>
      <c r="S28" s="5"/>
      <c r="T28" s="5"/>
    </row>
    <row r="29" spans="1:20" ht="21" thickTop="1" thickBot="1" x14ac:dyDescent="0.45">
      <c r="A29" s="90" t="s">
        <v>42</v>
      </c>
      <c r="B29" s="90"/>
      <c r="C29" s="90"/>
      <c r="D29" s="90"/>
      <c r="E29" s="34">
        <f>+F29*1.944</f>
        <v>1.0529033521876221</v>
      </c>
      <c r="F29" s="34">
        <f>+(M27^2+M28^2)^0.5</f>
        <v>0.54161695071379734</v>
      </c>
      <c r="G29" s="34">
        <f>+F29*3600/1000</f>
        <v>1.9498210225696706</v>
      </c>
      <c r="H29" s="37">
        <f>IF(I29+E15&gt;360,I29+E15-360,I29+E15)</f>
        <v>358.02466645919702</v>
      </c>
      <c r="I29" s="37">
        <f>+O30</f>
        <v>58.024666459197029</v>
      </c>
      <c r="J29" s="2"/>
      <c r="K29" s="50"/>
      <c r="L29" s="45" t="s">
        <v>71</v>
      </c>
      <c r="M29" s="48">
        <f>ABS(M28/M27)</f>
        <v>1.6018771108412204</v>
      </c>
      <c r="N29" s="44"/>
      <c r="O29" s="44"/>
      <c r="P29" s="44"/>
      <c r="Q29" s="5"/>
      <c r="R29" s="5"/>
      <c r="S29" s="5"/>
      <c r="T29" s="5"/>
    </row>
    <row r="30" spans="1:20" ht="21" thickTop="1" thickBot="1" x14ac:dyDescent="0.4">
      <c r="A30" s="112" t="s">
        <v>39</v>
      </c>
      <c r="B30" s="112"/>
      <c r="C30" s="112"/>
      <c r="D30" s="112"/>
      <c r="E30" s="38">
        <f>+F30*1.944</f>
        <v>0.32402578918329056</v>
      </c>
      <c r="F30" s="38">
        <f>+F28*1.4142*M32</f>
        <v>0.16667993270745399</v>
      </c>
      <c r="G30" s="38">
        <f>+F30*3600/1000</f>
        <v>0.60004775774683439</v>
      </c>
      <c r="H30" s="37">
        <f>+E15</f>
        <v>300</v>
      </c>
      <c r="I30" s="36" t="s">
        <v>37</v>
      </c>
      <c r="J30" s="5"/>
      <c r="K30" s="42"/>
      <c r="L30" s="48" t="s">
        <v>35</v>
      </c>
      <c r="M30" s="48">
        <f>ATAN(M29)</f>
        <v>1.0127238452678522</v>
      </c>
      <c r="N30" s="44" t="s">
        <v>14</v>
      </c>
      <c r="O30" s="44">
        <f>+M30*360/6.2832</f>
        <v>58.024666459197029</v>
      </c>
      <c r="P30" s="44" t="s">
        <v>36</v>
      </c>
      <c r="Q30" s="5"/>
      <c r="R30" s="5"/>
      <c r="S30" s="5"/>
      <c r="T30" s="5"/>
    </row>
    <row r="31" spans="1:20" ht="21" thickTop="1" thickBot="1" x14ac:dyDescent="0.35">
      <c r="A31" s="112" t="s">
        <v>57</v>
      </c>
      <c r="B31" s="137"/>
      <c r="C31" s="137"/>
      <c r="D31" s="137"/>
      <c r="E31" s="38">
        <f>+E9</f>
        <v>1.7</v>
      </c>
      <c r="F31" s="38">
        <f>+F9</f>
        <v>0.87455479999999997</v>
      </c>
      <c r="G31" s="38">
        <f>+G9</f>
        <v>3.1483972799999997</v>
      </c>
      <c r="H31" s="37">
        <f>+E6</f>
        <v>120</v>
      </c>
      <c r="I31" s="36" t="s">
        <v>76</v>
      </c>
      <c r="K31" s="52"/>
      <c r="L31" s="48" t="s">
        <v>40</v>
      </c>
      <c r="M31" s="48">
        <f>+E16*2*3.1416/360</f>
        <v>6.1086666666666662</v>
      </c>
      <c r="N31" s="44" t="s">
        <v>41</v>
      </c>
      <c r="O31" s="44"/>
      <c r="P31" s="44"/>
    </row>
    <row r="32" spans="1:20" ht="18.600000000000001" customHeight="1" thickTop="1" x14ac:dyDescent="0.3">
      <c r="A32" s="138" t="s">
        <v>81</v>
      </c>
      <c r="B32" s="138"/>
      <c r="C32" s="138"/>
      <c r="D32" s="138"/>
      <c r="E32" s="101">
        <f>+F32*1.944</f>
        <v>1.2114985502180957</v>
      </c>
      <c r="F32" s="101">
        <f>+(H41^2+I41^2)^0.5</f>
        <v>0.62319884270478176</v>
      </c>
      <c r="G32" s="101">
        <f>+F32*3.6</f>
        <v>2.2435158337372143</v>
      </c>
      <c r="H32" s="104">
        <f>+IF(AND($I$41&gt;=0,$H$41&gt;=0),90-$J$41,IF(AND($I$41&lt;=0,$H$41&lt;=0),270-$J$41,IF(AND($I$41&gt;=0,$H$41&lt;=0),90+$J$41,270+$J$41)))</f>
        <v>72.504074255279377</v>
      </c>
      <c r="I32" s="107" t="s">
        <v>75</v>
      </c>
      <c r="K32" s="52"/>
      <c r="L32" s="48" t="s">
        <v>43</v>
      </c>
      <c r="M32" s="49">
        <f>ABS(O32)</f>
        <v>0.1736341099791871</v>
      </c>
      <c r="N32" s="44"/>
      <c r="O32" s="44">
        <f>SIN(M31)</f>
        <v>-0.1736341099791871</v>
      </c>
      <c r="P32" s="44"/>
    </row>
    <row r="33" spans="1:16" ht="17.399999999999999" x14ac:dyDescent="0.3">
      <c r="A33" s="139"/>
      <c r="B33" s="139"/>
      <c r="C33" s="139"/>
      <c r="D33" s="139"/>
      <c r="E33" s="102"/>
      <c r="F33" s="102"/>
      <c r="G33" s="102"/>
      <c r="H33" s="105"/>
      <c r="I33" s="108"/>
      <c r="L33" s="50"/>
      <c r="M33" s="51"/>
      <c r="N33" s="52"/>
      <c r="O33" s="52"/>
      <c r="P33" s="52"/>
    </row>
    <row r="34" spans="1:16" ht="15" thickBot="1" x14ac:dyDescent="0.35">
      <c r="A34" s="140"/>
      <c r="B34" s="140"/>
      <c r="C34" s="140"/>
      <c r="D34" s="140"/>
      <c r="E34" s="103"/>
      <c r="F34" s="103"/>
      <c r="G34" s="103"/>
      <c r="H34" s="106"/>
      <c r="I34" s="109"/>
      <c r="L34" s="1"/>
      <c r="M34" s="1"/>
    </row>
    <row r="35" spans="1:16" ht="18.600000000000001" thickTop="1" thickBot="1" x14ac:dyDescent="0.35">
      <c r="A35" s="58"/>
      <c r="B35" s="58"/>
      <c r="C35" s="58"/>
      <c r="D35" s="58"/>
      <c r="L35" s="1"/>
      <c r="M35" s="1"/>
    </row>
    <row r="36" spans="1:16" ht="25.8" thickTop="1" thickBot="1" x14ac:dyDescent="0.6">
      <c r="A36" s="142" t="s">
        <v>93</v>
      </c>
      <c r="B36" s="143"/>
      <c r="C36" s="143"/>
      <c r="D36" s="144"/>
      <c r="E36" s="119" t="s">
        <v>52</v>
      </c>
      <c r="F36" s="119"/>
      <c r="G36" s="119"/>
      <c r="H36" s="119"/>
      <c r="I36" s="119"/>
      <c r="L36" s="1"/>
      <c r="M36" s="1"/>
    </row>
    <row r="37" spans="1:16" ht="19.8" thickTop="1" thickBot="1" x14ac:dyDescent="0.4">
      <c r="A37" s="60"/>
      <c r="B37" s="61" t="s">
        <v>5</v>
      </c>
      <c r="C37" s="141" t="s">
        <v>84</v>
      </c>
      <c r="D37" s="141"/>
      <c r="E37" s="20" t="s">
        <v>47</v>
      </c>
      <c r="F37" s="20" t="s">
        <v>48</v>
      </c>
      <c r="G37" s="20" t="s">
        <v>49</v>
      </c>
      <c r="H37" s="20" t="s">
        <v>50</v>
      </c>
      <c r="I37" s="20" t="s">
        <v>58</v>
      </c>
      <c r="L37" s="1"/>
      <c r="M37" s="1"/>
    </row>
    <row r="38" spans="1:16" ht="21.6" thickTop="1" thickBot="1" x14ac:dyDescent="0.5">
      <c r="A38" s="60" t="s">
        <v>82</v>
      </c>
      <c r="B38" s="62">
        <f>(0.005*$E$14)+0.038</f>
        <v>0.13800000000000001</v>
      </c>
      <c r="C38" s="63">
        <f>+E15-24</f>
        <v>276</v>
      </c>
      <c r="D38" s="64">
        <f>IF($E$15+24&lt;360,$E$15+24,$E$15+24-360)</f>
        <v>324</v>
      </c>
      <c r="E38" s="21" t="s">
        <v>51</v>
      </c>
      <c r="F38" s="24">
        <f>+F9</f>
        <v>0.87455479999999997</v>
      </c>
      <c r="G38" s="19">
        <f>+E6</f>
        <v>120</v>
      </c>
      <c r="H38" s="25">
        <f>COS(RADIANS($G38))*$F38</f>
        <v>-0.43727739999999982</v>
      </c>
      <c r="I38" s="25">
        <f>SIN(RADIANS($G38))*$F38</f>
        <v>0.75738667380161906</v>
      </c>
      <c r="L38" s="1"/>
      <c r="M38" s="1"/>
    </row>
    <row r="39" spans="1:16" ht="21.6" thickTop="1" thickBot="1" x14ac:dyDescent="0.5">
      <c r="A39" s="60" t="s">
        <v>83</v>
      </c>
      <c r="B39" s="24">
        <f>(0.007*$E$14)+0.043</f>
        <v>0.183</v>
      </c>
      <c r="C39" s="63">
        <f>+$E$15-40</f>
        <v>260</v>
      </c>
      <c r="D39" s="64">
        <f>IF($E$15+40&lt;360,$E$15+40,$E$15+40-360)</f>
        <v>340</v>
      </c>
      <c r="E39" s="21" t="s">
        <v>53</v>
      </c>
      <c r="F39" s="24">
        <f>+F29</f>
        <v>0.54161695071379734</v>
      </c>
      <c r="G39" s="19">
        <f>+H29</f>
        <v>358.02466645919702</v>
      </c>
      <c r="H39" s="25">
        <f t="shared" ref="H39:H40" si="0">COS(RADIANS($G39))*$F39</f>
        <v>0.54129509972619916</v>
      </c>
      <c r="I39" s="25">
        <f t="shared" ref="I39:I40" si="1">SIN(RADIANS($G39))*$F39</f>
        <v>-1.8669127267123005E-2</v>
      </c>
      <c r="L39" s="1"/>
      <c r="M39" s="1"/>
    </row>
    <row r="40" spans="1:16" ht="21.6" thickTop="1" thickBot="1" x14ac:dyDescent="0.5">
      <c r="A40" s="60" t="s">
        <v>86</v>
      </c>
      <c r="B40" s="66">
        <f>+($B$38+$B$39)/2</f>
        <v>0.1605</v>
      </c>
      <c r="C40" s="67">
        <f>+$E$15-32</f>
        <v>268</v>
      </c>
      <c r="D40" s="68">
        <f>IF($E$15+32&lt;360,$E$15+32,$E$15+32-360)</f>
        <v>332</v>
      </c>
      <c r="E40" s="21" t="s">
        <v>54</v>
      </c>
      <c r="F40" s="24">
        <f>+$F$30</f>
        <v>0.16667993270745399</v>
      </c>
      <c r="G40" s="19">
        <f>+$H$30</f>
        <v>300</v>
      </c>
      <c r="H40" s="25">
        <f t="shared" si="0"/>
        <v>8.3339966353727007E-2</v>
      </c>
      <c r="I40" s="25">
        <f t="shared" si="1"/>
        <v>-0.14434905602573589</v>
      </c>
      <c r="J40" s="27" t="s">
        <v>60</v>
      </c>
      <c r="L40" s="1"/>
      <c r="M40" s="1"/>
    </row>
    <row r="41" spans="1:16" ht="18.600000000000001" thickTop="1" thickBot="1" x14ac:dyDescent="0.35">
      <c r="E41" s="120" t="s">
        <v>85</v>
      </c>
      <c r="F41" s="120"/>
      <c r="G41" s="120"/>
      <c r="H41" s="26">
        <f>SUM(H38:H40)</f>
        <v>0.18735766607992635</v>
      </c>
      <c r="I41" s="26">
        <f>SUM(I38:I40)</f>
        <v>0.59436849050876017</v>
      </c>
      <c r="J41" s="28">
        <f>ABS((ATAN(H41/I41))*360/6.2832)</f>
        <v>17.495925744720623</v>
      </c>
      <c r="L41" s="1"/>
      <c r="M41" s="1"/>
    </row>
    <row r="42" spans="1:16" ht="21" thickTop="1" thickBot="1" x14ac:dyDescent="0.45">
      <c r="A42" s="90" t="s">
        <v>94</v>
      </c>
      <c r="B42" s="91"/>
      <c r="C42" s="91"/>
      <c r="D42" s="91"/>
      <c r="E42" s="59" t="s">
        <v>89</v>
      </c>
      <c r="F42" s="62">
        <f>+F28</f>
        <v>0.67879313009317599</v>
      </c>
      <c r="G42" s="27">
        <f>+H28</f>
        <v>345</v>
      </c>
      <c r="H42" s="25">
        <f>COS(RADIANS($G42))*$F42</f>
        <v>0.65566381506459404</v>
      </c>
      <c r="I42" s="25">
        <f>SIN(RADIANS($G42))*$F42</f>
        <v>-0.17568458975286691</v>
      </c>
      <c r="J42" s="27"/>
      <c r="L42" s="1"/>
      <c r="M42" s="1"/>
    </row>
    <row r="43" spans="1:16" ht="19.8" customHeight="1" thickTop="1" thickBot="1" x14ac:dyDescent="0.35">
      <c r="A43" s="70" t="s">
        <v>92</v>
      </c>
      <c r="B43" s="20" t="s">
        <v>91</v>
      </c>
      <c r="C43" s="20" t="s">
        <v>5</v>
      </c>
      <c r="D43" s="20" t="s">
        <v>7</v>
      </c>
      <c r="E43" s="112" t="s">
        <v>88</v>
      </c>
      <c r="F43" s="62">
        <f>+B40</f>
        <v>0.1605</v>
      </c>
      <c r="G43" s="28">
        <f>+C40</f>
        <v>268</v>
      </c>
      <c r="H43" s="25">
        <f>COS(RADIANS($G43))*$F43</f>
        <v>-5.6013692207513722E-3</v>
      </c>
      <c r="I43" s="25">
        <f>SIN(RADIANS($G43))*$F43</f>
        <v>-0.16040222773656487</v>
      </c>
      <c r="J43" s="27"/>
      <c r="L43" s="1"/>
      <c r="M43" s="1"/>
    </row>
    <row r="44" spans="1:16" ht="18.600000000000001" thickTop="1" thickBot="1" x14ac:dyDescent="0.35">
      <c r="A44" s="71">
        <f>+IF(AND($I$45&gt;=0,$H$45&gt;=0),90-$J$45,IF(AND($I$45&lt;=0,$H$45&lt;=0),270-$J$45,IF(AND($I$45&gt;=0,$H$45&lt;=0),90+$J$45,270+$J$45)))</f>
        <v>43.083798255270423</v>
      </c>
      <c r="B44" s="72">
        <f>+C44*1.944</f>
        <v>0.78819975318883617</v>
      </c>
      <c r="C44" s="72">
        <f>+($H$45^2+$I$45^2)^0.5</f>
        <v>0.40545254793664415</v>
      </c>
      <c r="D44" s="72">
        <f>+C44*3600/1000</f>
        <v>1.4596291725719188</v>
      </c>
      <c r="E44" s="112"/>
      <c r="F44" s="62">
        <f>+F43</f>
        <v>0.1605</v>
      </c>
      <c r="G44" s="28">
        <f>+D40</f>
        <v>332</v>
      </c>
      <c r="H44" s="25">
        <f>COS(RADIANS($G44))*$F44</f>
        <v>0.14171308865385776</v>
      </c>
      <c r="I44" s="25">
        <f>SIN(RADIANS($G44))*$F44</f>
        <v>-7.5350185827135471E-2</v>
      </c>
      <c r="J44" s="27"/>
      <c r="L44" s="1"/>
      <c r="M44" s="1"/>
    </row>
    <row r="45" spans="1:16" ht="18.600000000000001" thickTop="1" thickBot="1" x14ac:dyDescent="0.35">
      <c r="A45" s="71">
        <f>+IF(AND($I$46&gt;=0,$H$46&gt;=0),90-$J$46,IF(AND($I$46&lt;=0,$H$46&lt;=0),270-$J$46,IF(AND($I$46&gt;=0,$H$46&lt;=0),90+$J$46,270+$J$46)))</f>
        <v>39.226679694659168</v>
      </c>
      <c r="B45" s="72">
        <f>+C45*1.944</f>
        <v>1.112818381088136</v>
      </c>
      <c r="C45" s="72">
        <f>+($H$46^2+$I$46^2)^0.5</f>
        <v>0.57243743883134568</v>
      </c>
      <c r="D45" s="72">
        <f>+C45*3600/1000</f>
        <v>2.0607747797928444</v>
      </c>
      <c r="E45" s="113" t="s">
        <v>90</v>
      </c>
      <c r="F45" s="114"/>
      <c r="G45" s="115"/>
      <c r="H45" s="26">
        <f>+H38+H40+H42+H43</f>
        <v>0.29612501219756981</v>
      </c>
      <c r="I45" s="26">
        <f>+I38+I40+I42+I43</f>
        <v>0.27695080028645136</v>
      </c>
      <c r="J45" s="28">
        <f>ABS((ATAN(H45/I45))*360/6.2832)</f>
        <v>46.916201744729577</v>
      </c>
      <c r="L45" s="1"/>
      <c r="M45" s="1"/>
    </row>
    <row r="46" spans="1:16" ht="18.600000000000001" thickTop="1" thickBot="1" x14ac:dyDescent="0.35">
      <c r="C46" s="69"/>
      <c r="E46" s="116"/>
      <c r="F46" s="117"/>
      <c r="G46" s="118"/>
      <c r="H46" s="26">
        <f>+H38+H40+H42+H44</f>
        <v>0.44343947007217899</v>
      </c>
      <c r="I46" s="26">
        <f>+I38+I40+I42+I44</f>
        <v>0.36200284219588075</v>
      </c>
      <c r="J46" s="28">
        <f t="shared" ref="J46" si="2">ABS((ATAN(H46/I46))*360/6.2832)</f>
        <v>50.773320305340832</v>
      </c>
      <c r="L46" s="1"/>
      <c r="M46" s="1"/>
    </row>
    <row r="47" spans="1:16" ht="18" thickTop="1" x14ac:dyDescent="0.3">
      <c r="B47" s="1"/>
      <c r="E47" s="110" t="s">
        <v>61</v>
      </c>
      <c r="F47" s="110"/>
      <c r="G47" s="110"/>
      <c r="H47" s="110"/>
      <c r="I47" s="110"/>
      <c r="J47" s="110"/>
      <c r="L47" s="1"/>
      <c r="M47" s="1"/>
    </row>
    <row r="48" spans="1:16" ht="18.600000000000001" thickBot="1" x14ac:dyDescent="0.4">
      <c r="E48" s="5"/>
      <c r="G48" s="8"/>
      <c r="K48" s="1"/>
      <c r="L48" s="1"/>
    </row>
    <row r="49" spans="5:16" ht="15" thickBot="1" x14ac:dyDescent="0.35">
      <c r="H49" s="97" t="s">
        <v>62</v>
      </c>
      <c r="I49" s="97"/>
    </row>
    <row r="50" spans="5:16" ht="15" thickBot="1" x14ac:dyDescent="0.35">
      <c r="H50" s="29" t="s">
        <v>55</v>
      </c>
      <c r="I50" s="29" t="s">
        <v>56</v>
      </c>
    </row>
    <row r="51" spans="5:16" ht="15" thickBot="1" x14ac:dyDescent="0.35">
      <c r="E51" s="98" t="s">
        <v>59</v>
      </c>
      <c r="F51" s="99"/>
      <c r="G51" s="100"/>
      <c r="H51" s="29">
        <v>0</v>
      </c>
      <c r="I51" s="29">
        <v>0</v>
      </c>
    </row>
    <row r="52" spans="5:16" ht="15" thickBot="1" x14ac:dyDescent="0.35">
      <c r="E52" s="98" t="s">
        <v>87</v>
      </c>
      <c r="F52" s="99"/>
      <c r="G52" s="100"/>
      <c r="H52" s="30">
        <f>+$I$41</f>
        <v>0.59436849050876017</v>
      </c>
      <c r="I52" s="30">
        <f>+H41</f>
        <v>0.18735766607992635</v>
      </c>
    </row>
    <row r="53" spans="5:16" ht="15" thickBot="1" x14ac:dyDescent="0.35">
      <c r="E53" s="92" t="s">
        <v>95</v>
      </c>
      <c r="F53" s="93"/>
      <c r="G53" s="94"/>
      <c r="H53" s="65">
        <f>+I45</f>
        <v>0.27695080028645136</v>
      </c>
      <c r="I53" s="65">
        <f>+H45</f>
        <v>0.29612501219756981</v>
      </c>
    </row>
    <row r="54" spans="5:16" ht="18" thickBot="1" x14ac:dyDescent="0.35">
      <c r="E54" s="92"/>
      <c r="F54" s="93"/>
      <c r="G54" s="94"/>
      <c r="H54" s="65">
        <f>+I46</f>
        <v>0.36200284219588075</v>
      </c>
      <c r="I54" s="65">
        <f>+H46</f>
        <v>0.44343947007217899</v>
      </c>
      <c r="K54" s="95" t="s">
        <v>97</v>
      </c>
      <c r="L54" s="95"/>
      <c r="M54" s="95"/>
      <c r="N54" s="95"/>
      <c r="O54" s="95"/>
      <c r="P54" s="95"/>
    </row>
    <row r="55" spans="5:16" ht="17.399999999999999" x14ac:dyDescent="0.3">
      <c r="K55" s="96" t="s">
        <v>96</v>
      </c>
      <c r="L55" s="96"/>
      <c r="M55" s="96"/>
      <c r="N55" s="96"/>
      <c r="O55" s="96"/>
      <c r="P55" s="96"/>
    </row>
  </sheetData>
  <sheetProtection sheet="1" objects="1" scenarios="1" selectLockedCells="1"/>
  <mergeCells count="59">
    <mergeCell ref="N3:N4"/>
    <mergeCell ref="N6:N7"/>
    <mergeCell ref="N8:N9"/>
    <mergeCell ref="N11:N12"/>
    <mergeCell ref="O3:O4"/>
    <mergeCell ref="O6:O7"/>
    <mergeCell ref="A1:E1"/>
    <mergeCell ref="A3:D3"/>
    <mergeCell ref="A4:D4"/>
    <mergeCell ref="A5:D5"/>
    <mergeCell ref="A20:D20"/>
    <mergeCell ref="A12:E12"/>
    <mergeCell ref="A14:D14"/>
    <mergeCell ref="A15:D15"/>
    <mergeCell ref="A17:D17"/>
    <mergeCell ref="A11:D11"/>
    <mergeCell ref="A31:D31"/>
    <mergeCell ref="A32:D34"/>
    <mergeCell ref="C37:D37"/>
    <mergeCell ref="A36:D36"/>
    <mergeCell ref="A30:D30"/>
    <mergeCell ref="A29:D29"/>
    <mergeCell ref="A6:D6"/>
    <mergeCell ref="A7:D7"/>
    <mergeCell ref="A8:D9"/>
    <mergeCell ref="A25:D25"/>
    <mergeCell ref="A24:I24"/>
    <mergeCell ref="A27:D27"/>
    <mergeCell ref="A26:D26"/>
    <mergeCell ref="I14:L14"/>
    <mergeCell ref="I15:L15"/>
    <mergeCell ref="A21:D21"/>
    <mergeCell ref="A19:D19"/>
    <mergeCell ref="A18:D18"/>
    <mergeCell ref="A16:D16"/>
    <mergeCell ref="G14:H14"/>
    <mergeCell ref="L17:N17"/>
    <mergeCell ref="G19:I19"/>
    <mergeCell ref="G20:H20"/>
    <mergeCell ref="G21:I21"/>
    <mergeCell ref="G32:G34"/>
    <mergeCell ref="H32:H34"/>
    <mergeCell ref="I32:I34"/>
    <mergeCell ref="E47:J47"/>
    <mergeCell ref="E26:G26"/>
    <mergeCell ref="E32:E34"/>
    <mergeCell ref="F32:F34"/>
    <mergeCell ref="E43:E44"/>
    <mergeCell ref="E45:G46"/>
    <mergeCell ref="E36:I36"/>
    <mergeCell ref="E41:G41"/>
    <mergeCell ref="H26:I26"/>
    <mergeCell ref="A42:D42"/>
    <mergeCell ref="E53:G54"/>
    <mergeCell ref="K54:P54"/>
    <mergeCell ref="K55:P55"/>
    <mergeCell ref="H49:I49"/>
    <mergeCell ref="E52:G52"/>
    <mergeCell ref="E51:G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CE4E2-0C26-4978-B0E7-4AE01D1B0E92}">
  <dimension ref="J13:K16"/>
  <sheetViews>
    <sheetView workbookViewId="0">
      <selection activeCell="J13" sqref="J13:K16"/>
    </sheetView>
  </sheetViews>
  <sheetFormatPr baseColWidth="10" defaultRowHeight="14.4" x14ac:dyDescent="0.3"/>
  <sheetData>
    <row r="13" spans="10:11" x14ac:dyDescent="0.3">
      <c r="J13">
        <v>1</v>
      </c>
      <c r="K13">
        <v>10</v>
      </c>
    </row>
    <row r="14" spans="10:11" x14ac:dyDescent="0.3">
      <c r="J14">
        <v>1</v>
      </c>
      <c r="K14">
        <v>100</v>
      </c>
    </row>
    <row r="15" spans="10:11" x14ac:dyDescent="0.3">
      <c r="J15">
        <v>1</v>
      </c>
      <c r="K15">
        <v>190</v>
      </c>
    </row>
    <row r="16" spans="10:11" x14ac:dyDescent="0.3">
      <c r="J16">
        <v>1</v>
      </c>
      <c r="K16">
        <v>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Taymans</dc:creator>
  <cp:lastModifiedBy>Jean-Claude Taymans</cp:lastModifiedBy>
  <dcterms:created xsi:type="dcterms:W3CDTF">2025-10-09T09:18:11Z</dcterms:created>
  <dcterms:modified xsi:type="dcterms:W3CDTF">2025-10-21T11:20:07Z</dcterms:modified>
</cp:coreProperties>
</file>