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ge_web\page-version2004\voyage\"/>
    </mc:Choice>
  </mc:AlternateContent>
  <xr:revisionPtr revIDLastSave="0" documentId="8_{5CAE720B-6867-419D-BB8E-EFABC9EBC0BE}" xr6:coauthVersionLast="43" xr6:coauthVersionMax="43" xr10:uidLastSave="{00000000-0000-0000-0000-000000000000}"/>
  <workbookProtection workbookAlgorithmName="SHA-512" workbookHashValue="rTWb5QuqP6ySH7OHCKb5B0TiaKt5Z4cq4jrO2QvWmjCh2+y+GWBKGaYdqqsaiE9Fv0YNxWqUQoVxpOWUdeJNDA==" workbookSaltValue="N2XaMiuZyHejFk5J7XLtsg==" workbookSpinCount="100000" lockStructure="1"/>
  <bookViews>
    <workbookView xWindow="-108" yWindow="-108" windowWidth="23256" windowHeight="12576" xr2:uid="{7CB89747-B86F-4A17-A2EA-C2BFF201DA2B}"/>
  </bookViews>
  <sheets>
    <sheet name="Bilan annuel rapide" sheetId="1" r:id="rId1"/>
    <sheet name="Bilan par séjour" sheetId="2" r:id="rId2"/>
    <sheet name="Trajet avion " sheetId="3" r:id="rId3"/>
    <sheet name="Liveaboard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1" i="3" l="1"/>
  <c r="C34" i="3"/>
  <c r="C27" i="3"/>
  <c r="C21" i="3"/>
  <c r="C13" i="3"/>
  <c r="C3" i="3"/>
  <c r="B75" i="1"/>
  <c r="J24" i="3"/>
  <c r="C68" i="3"/>
  <c r="C25" i="3"/>
  <c r="B62" i="1"/>
  <c r="J15" i="4"/>
  <c r="F15" i="4"/>
  <c r="G15" i="4" s="1"/>
  <c r="I15" i="4" s="1"/>
  <c r="B69" i="1" l="1"/>
  <c r="B74" i="1"/>
  <c r="J23" i="3"/>
  <c r="B61" i="1"/>
  <c r="C86" i="3"/>
  <c r="C85" i="3"/>
  <c r="C84" i="3"/>
  <c r="J14" i="4"/>
  <c r="F14" i="4"/>
  <c r="G14" i="4" s="1"/>
  <c r="I14" i="4" s="1"/>
  <c r="B73" i="1" l="1"/>
  <c r="B60" i="1"/>
  <c r="G13" i="4"/>
  <c r="I13" i="4" s="1"/>
  <c r="J13" i="4" s="1"/>
  <c r="F13" i="4"/>
  <c r="B72" i="1"/>
  <c r="C83" i="3"/>
  <c r="C82" i="3"/>
  <c r="J21" i="3" s="1"/>
  <c r="B49" i="1"/>
  <c r="B48" i="1"/>
  <c r="B59" i="1"/>
  <c r="F12" i="4"/>
  <c r="G12" i="4"/>
  <c r="I12" i="4"/>
  <c r="J12" i="4" s="1"/>
  <c r="G11" i="4"/>
  <c r="I11" i="4"/>
  <c r="J11" i="4" s="1"/>
  <c r="F11" i="4"/>
  <c r="F20" i="2" l="1"/>
  <c r="F19" i="2"/>
  <c r="F18" i="2"/>
  <c r="F17" i="2"/>
  <c r="F16" i="2"/>
  <c r="F15" i="2"/>
  <c r="F14" i="2"/>
  <c r="B65" i="1" l="1"/>
  <c r="B64" i="2"/>
  <c r="B71" i="1" l="1"/>
  <c r="B70" i="1"/>
  <c r="B68" i="1"/>
  <c r="B67" i="1"/>
  <c r="B66" i="1"/>
  <c r="B76" i="1" l="1"/>
  <c r="B56" i="1"/>
  <c r="C79" i="3"/>
  <c r="C78" i="3"/>
  <c r="C77" i="3" s="1"/>
  <c r="C71" i="3"/>
  <c r="C75" i="3"/>
  <c r="C74" i="3"/>
  <c r="C73" i="3"/>
  <c r="C72" i="3"/>
  <c r="B52" i="1"/>
  <c r="C70" i="3" l="1"/>
  <c r="J14" i="3" s="1"/>
  <c r="C24" i="3"/>
  <c r="C11" i="3"/>
  <c r="J17" i="3" s="1"/>
  <c r="B57" i="1"/>
  <c r="F10" i="4"/>
  <c r="G10" i="4"/>
  <c r="I10" i="4" s="1"/>
  <c r="J10" i="4" s="1"/>
  <c r="C50" i="3" l="1"/>
  <c r="C54" i="3"/>
  <c r="C46" i="3"/>
  <c r="C51" i="3"/>
  <c r="C49" i="3"/>
  <c r="C43" i="3"/>
  <c r="C38" i="3"/>
  <c r="C37" i="3"/>
  <c r="C42" i="3"/>
  <c r="C39" i="3"/>
  <c r="C36" i="3"/>
  <c r="C35" i="3"/>
  <c r="C32" i="3"/>
  <c r="C31" i="3"/>
  <c r="C30" i="3"/>
  <c r="C29" i="3"/>
  <c r="C28" i="3"/>
  <c r="C23" i="3"/>
  <c r="C22" i="3"/>
  <c r="C19" i="3"/>
  <c r="C18" i="3"/>
  <c r="C17" i="3"/>
  <c r="C16" i="3"/>
  <c r="C15" i="3"/>
  <c r="C14" i="3"/>
  <c r="C67" i="3" l="1"/>
  <c r="C47" i="3"/>
  <c r="C9" i="3"/>
  <c r="C8" i="3"/>
  <c r="C64" i="3"/>
  <c r="C63" i="3"/>
  <c r="C62" i="3"/>
  <c r="C61" i="3"/>
  <c r="C60" i="3"/>
  <c r="C59" i="3"/>
  <c r="C56" i="3"/>
  <c r="C55" i="3"/>
  <c r="C53" i="3"/>
  <c r="C52" i="3"/>
  <c r="C48" i="3"/>
  <c r="C45" i="3"/>
  <c r="C44" i="3"/>
  <c r="C10" i="3"/>
  <c r="C7" i="3"/>
  <c r="C6" i="3"/>
  <c r="C5" i="3"/>
  <c r="C4" i="3"/>
  <c r="J22" i="3" s="1"/>
  <c r="J19" i="3" l="1"/>
  <c r="J20" i="3"/>
  <c r="E4" i="3"/>
  <c r="C58" i="3"/>
  <c r="J18" i="3"/>
  <c r="B58" i="1"/>
  <c r="B55" i="1"/>
  <c r="B54" i="1"/>
  <c r="B53" i="1"/>
  <c r="B78" i="1" s="1"/>
  <c r="J16" i="3" l="1"/>
  <c r="J15" i="3"/>
  <c r="F9" i="4"/>
  <c r="G9" i="4" s="1"/>
  <c r="I9" i="4" s="1"/>
  <c r="J9" i="4" s="1"/>
  <c r="I5" i="4"/>
  <c r="J5" i="4" s="1"/>
  <c r="I4" i="4"/>
  <c r="J4" i="4" s="1"/>
  <c r="I3" i="4"/>
  <c r="J3" i="4" s="1"/>
  <c r="G8" i="4"/>
  <c r="I8" i="4" s="1"/>
  <c r="J8" i="4" s="1"/>
  <c r="G6" i="4"/>
  <c r="I6" i="4" s="1"/>
  <c r="J6" i="4" s="1"/>
  <c r="G5" i="4"/>
  <c r="G4" i="4"/>
  <c r="G3" i="4"/>
  <c r="F8" i="4"/>
  <c r="F7" i="4"/>
  <c r="G7" i="4" s="1"/>
  <c r="I7" i="4" s="1"/>
  <c r="J7" i="4" s="1"/>
  <c r="F6" i="4"/>
  <c r="F5" i="4"/>
  <c r="F4" i="4"/>
  <c r="F3" i="4"/>
  <c r="D35" i="1" l="1"/>
  <c r="B50" i="1" s="1"/>
  <c r="D30" i="2"/>
  <c r="B46" i="2" s="1"/>
  <c r="B45" i="2" l="1"/>
  <c r="B44" i="2"/>
  <c r="B43" i="2"/>
  <c r="B42" i="2"/>
  <c r="D10" i="2"/>
  <c r="B47" i="1"/>
  <c r="D25" i="1"/>
  <c r="B4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32485</author>
  </authors>
  <commentList>
    <comment ref="D7" authorId="0" shapeId="0" xr:uid="{967917D7-9674-4208-A4F6-9EF944D45F12}">
      <text>
        <r>
          <rPr>
            <b/>
            <sz val="10"/>
            <color indexed="81"/>
            <rFont val="Tahoma"/>
            <family val="2"/>
          </rPr>
          <t>Détail: voir la feuille Liveaboard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56" authorId="0" shapeId="0" xr:uid="{1DEBD65F-AD19-47F6-8F43-9BE84D39D4AA}">
      <text>
        <r>
          <rPr>
            <sz val="10"/>
            <color indexed="81"/>
            <rFont val="Tahoma"/>
            <family val="2"/>
          </rPr>
          <t>Départ: Kwajalein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57" authorId="0" shapeId="0" xr:uid="{2AB8D0B7-653D-4CBC-80B2-0EAF015E8901}">
      <text>
        <r>
          <rPr>
            <sz val="10"/>
            <color indexed="81"/>
            <rFont val="Tahoma"/>
            <family val="2"/>
          </rPr>
          <t>Départ: port de  Buenaventura- Colombie
3h de route depuis l'aéroport</t>
        </r>
      </text>
    </comment>
    <comment ref="A68" authorId="0" shapeId="0" xr:uid="{88ED1328-F40B-4FB8-8213-FE826CF87A8C}">
      <text>
        <r>
          <rPr>
            <sz val="10"/>
            <color indexed="81"/>
            <rFont val="Tahoma"/>
            <family val="2"/>
          </rPr>
          <t>Trajet:Bruxelles(BRU)-Madrid(MAD)-Colombie(CLO)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69" authorId="0" shapeId="0" xr:uid="{52417D8A-8CBC-4AE0-A1D2-41192BE499C2}">
      <text>
        <r>
          <rPr>
            <sz val="10"/>
            <color indexed="81"/>
            <rFont val="Tahoma"/>
            <family val="2"/>
          </rPr>
          <t>Trajet: Bruxelles(BRU)-Amsterdam(AMS)-Equateur(GYE)-Galapagos(GPS)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0" authorId="0" shapeId="0" xr:uid="{284C0968-2DF4-4373-98F2-23A2D7C6AC1A}">
      <text>
        <r>
          <rPr>
            <sz val="10"/>
            <color indexed="81"/>
            <rFont val="Tahoma"/>
            <family val="2"/>
          </rPr>
          <t>Trajet: Bruxelles (BRU)-Amsterdam(AMS)-Manille (MNL)-Guam (GUM)-Chuuk (TKK)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71" authorId="0" shapeId="0" xr:uid="{D7BAA356-4FB0-4856-A9D9-756959053990}">
      <text>
        <r>
          <rPr>
            <sz val="10"/>
            <color indexed="81"/>
            <rFont val="Tahoma"/>
            <family val="2"/>
          </rPr>
          <t>Trajet:Bruxelles(BRU)-Amsterdam(AMS)-Los Angeles(LAX)-Honolulu(HNL)-Kwajalein(KWA)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2" authorId="0" shapeId="0" xr:uid="{08A64C1A-0BCC-485B-83E2-AF41AA8C6D67}">
      <text>
        <r>
          <rPr>
            <sz val="10"/>
            <color indexed="81"/>
            <rFont val="Tahoma"/>
            <family val="2"/>
          </rPr>
          <t>Trajet: Bruxelles (BRU) - Doha(DOH) - Malé (MLE)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3" authorId="0" shapeId="0" xr:uid="{979B19B8-7631-48A5-AEC7-0D77A1E6BB1A}">
      <text>
        <r>
          <rPr>
            <sz val="9"/>
            <color indexed="81"/>
            <rFont val="Tahoma"/>
            <family val="2"/>
          </rPr>
          <t xml:space="preserve">Trajet: Bruxelles(BRU) -Amsterdam(AMS)- Manille(MNL)-Guam (GUM)-Honiara(HIR)
</t>
        </r>
      </text>
    </comment>
    <comment ref="A74" authorId="0" shapeId="0" xr:uid="{64A53AA8-C883-4EF1-8BB5-24E930301C2E}">
      <text>
        <r>
          <rPr>
            <sz val="10"/>
            <color indexed="81"/>
            <rFont val="Tahoma"/>
            <family val="2"/>
          </rPr>
          <t>Trajet: Bruxelles (BRU)- Amsterdam(AMS)-Jakarta(CGK)-Sorong(SOQ)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5" authorId="0" shapeId="0" xr:uid="{D025BDBF-863D-4534-86A9-11D95C8A583E}">
      <text>
        <r>
          <rPr>
            <sz val="10"/>
            <color indexed="81"/>
            <rFont val="Tahoma"/>
            <family val="2"/>
          </rPr>
          <t>Trajet: Bruxelles (BRU) - Paris (CDG) - Panama (PTY) - Costa Rica (SJO)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32485</author>
  </authors>
  <commentList>
    <comment ref="I13" authorId="0" shapeId="0" xr:uid="{C9F4535F-943C-4381-A85A-ABD2D085ACD4}">
      <text>
        <r>
          <rPr>
            <b/>
            <sz val="11"/>
            <color indexed="81"/>
            <rFont val="Tahoma"/>
            <family val="2"/>
          </rPr>
          <t xml:space="preserve">Comprend les vols internes en UE et sur la zone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1" authorId="0" shapeId="0" xr:uid="{78D2E60A-F8C6-4525-933D-949021C1233A}">
      <text>
        <r>
          <rPr>
            <b/>
            <sz val="10"/>
            <color indexed="81"/>
            <rFont val="Tahoma"/>
            <family val="2"/>
          </rPr>
          <t>Vol de et vers Hawaii exclu: cas particuliers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<sst xmlns="http://schemas.openxmlformats.org/spreadsheetml/2006/main" count="380" uniqueCount="229">
  <si>
    <t>Hypothèses</t>
  </si>
  <si>
    <t xml:space="preserve">1. Généralités </t>
  </si>
  <si>
    <t xml:space="preserve">Nombre Totale de plongée </t>
  </si>
  <si>
    <t xml:space="preserve">Nombre de plongée bateau </t>
  </si>
  <si>
    <t>Nombre de voyage Pacifique</t>
  </si>
  <si>
    <t xml:space="preserve">Nombre de voyage mer rouge </t>
  </si>
  <si>
    <t>2. Déplacement voiture</t>
  </si>
  <si>
    <t xml:space="preserve">Nombre de Km/an </t>
  </si>
  <si>
    <t xml:space="preserve">Km/an </t>
  </si>
  <si>
    <t xml:space="preserve">Occupation </t>
  </si>
  <si>
    <t>pers</t>
  </si>
  <si>
    <t xml:space="preserve">Consommation </t>
  </si>
  <si>
    <t xml:space="preserve">l/100 Km </t>
  </si>
  <si>
    <t>Kg/100 Km</t>
  </si>
  <si>
    <t>C02 eq.</t>
  </si>
  <si>
    <t>0-1000 km</t>
  </si>
  <si>
    <t>Km</t>
  </si>
  <si>
    <t>KgCO2 eq/.pp.km</t>
  </si>
  <si>
    <t>1000-2000 km</t>
  </si>
  <si>
    <t>2000-3000 km</t>
  </si>
  <si>
    <t>3000-4000 km</t>
  </si>
  <si>
    <t>4000-5000 km</t>
  </si>
  <si>
    <t>5000-6000 km</t>
  </si>
  <si>
    <t>&gt;6000 km</t>
  </si>
  <si>
    <t>Durée du déplacement A/R</t>
  </si>
  <si>
    <t xml:space="preserve">heures </t>
  </si>
  <si>
    <t xml:space="preserve">Consommation  bateau </t>
  </si>
  <si>
    <t>l/h</t>
  </si>
  <si>
    <t xml:space="preserve">Nombre de plongeurs </t>
  </si>
  <si>
    <t>Données</t>
  </si>
  <si>
    <t>1. Carburants</t>
  </si>
  <si>
    <t xml:space="preserve">Masse spécifique gazole </t>
  </si>
  <si>
    <t>Kg/l</t>
  </si>
  <si>
    <t xml:space="preserve">Masse spécifique Kérozène </t>
  </si>
  <si>
    <t xml:space="preserve">CO2 regeté </t>
  </si>
  <si>
    <t>Kg/ Kg gazole</t>
  </si>
  <si>
    <t>km</t>
  </si>
  <si>
    <t xml:space="preserve">Estimation </t>
  </si>
  <si>
    <t>CO2 eq gonflage bouteille</t>
  </si>
  <si>
    <t>KgCO2/bouteille</t>
  </si>
  <si>
    <t xml:space="preserve">Calcul CO2 </t>
  </si>
  <si>
    <t xml:space="preserve">1. Gonflage bouteille </t>
  </si>
  <si>
    <t>KgCO2</t>
  </si>
  <si>
    <t>2. Déplacement bateau</t>
  </si>
  <si>
    <t xml:space="preserve">3. Déplacement voiture </t>
  </si>
  <si>
    <t xml:space="preserve">4. Voyage en avion </t>
  </si>
  <si>
    <t xml:space="preserve">Mer rouge </t>
  </si>
  <si>
    <t>KgCO2 eq</t>
  </si>
  <si>
    <t xml:space="preserve">Caraïbes </t>
  </si>
  <si>
    <t xml:space="preserve">Pacifique </t>
  </si>
  <si>
    <t xml:space="preserve">Total avion </t>
  </si>
  <si>
    <t>Total C02 eq</t>
  </si>
  <si>
    <t>Kg CO2/voyage</t>
  </si>
  <si>
    <t>CO2 eq/voyage</t>
  </si>
  <si>
    <t>Source ADME-Wikipedia</t>
  </si>
  <si>
    <t>Source: Boat-fuel</t>
  </si>
  <si>
    <t>Bruxelles (BRU) -Paris  (CDG)</t>
  </si>
  <si>
    <t>Bruxelles (BRU) -Amsterdam (AMS)</t>
  </si>
  <si>
    <t>Bruxelles (BRU) -Francfort (FRA)</t>
  </si>
  <si>
    <t>Bruxelles (BRU) -Londres (LHR)(LGW)</t>
  </si>
  <si>
    <t>Bruxelles (BRU) -Oslo (OSL)</t>
  </si>
  <si>
    <t>Oslo (OSL) -  Narvik  (EVE)</t>
  </si>
  <si>
    <t>Londres (LHR) - Kirkwall (KOI) (Scapa Flow)</t>
  </si>
  <si>
    <t>Amsterdam (AMS) - Bonaire (BON)</t>
  </si>
  <si>
    <t>Amsterdam (AMS) - Bali (DPS)</t>
  </si>
  <si>
    <t>Amsterdam (AMS) - Manille (MNL)</t>
  </si>
  <si>
    <t>Amsterdam (AMS) - Brisbane (BNE)</t>
  </si>
  <si>
    <t>Manille (MNL) - Guam (GUM)</t>
  </si>
  <si>
    <t>Guam (GUM) - Chuuk (TKK)</t>
  </si>
  <si>
    <t>Francfort (FRA) - Grenada (GND)</t>
  </si>
  <si>
    <t>Guam (GUM) - Saipan (SPN)</t>
  </si>
  <si>
    <t>Amsterdam (AMS) - Vancouver (YVR)</t>
  </si>
  <si>
    <t>Amsterdam (AMS) - Los Angeles (LAX)</t>
  </si>
  <si>
    <t>Amsterdam (AMS) - New York (JFK)</t>
  </si>
  <si>
    <t>Amsterdam (AMS) - San Francisco (SFO)</t>
  </si>
  <si>
    <t>Amsterdam (AMS) - Boston (BOS)</t>
  </si>
  <si>
    <t>Paris (CDG) - Miami (MIA)</t>
  </si>
  <si>
    <t>Vol intérieur UE</t>
  </si>
  <si>
    <t>Vol vers l'Amérique du Nord</t>
  </si>
  <si>
    <t>Vol vers les Caraïbes</t>
  </si>
  <si>
    <t>Vol vers le Pacifique</t>
  </si>
  <si>
    <t>Vancouver (YVR) - Hawaii (HNL)</t>
  </si>
  <si>
    <t>Los Angeles (LAX) - Hawaii (HNL)</t>
  </si>
  <si>
    <t>Vol entre les îles du Pacifique</t>
  </si>
  <si>
    <t>Hawaii (HNL) - Guam (GUM)</t>
  </si>
  <si>
    <t>Hawaii (HNL) - Kwajalein (KWA)</t>
  </si>
  <si>
    <t>Guam (GUM) - Okinawa (OKA)</t>
  </si>
  <si>
    <t>Guam (GUM) - Solomons (HIR)</t>
  </si>
  <si>
    <t xml:space="preserve">Guam (GUM) - Kwalalein (KWA) </t>
  </si>
  <si>
    <t>Chuuk (TKK) - Pohnpei (PNI)</t>
  </si>
  <si>
    <t>Pohnpei (PNI) - Kosrae  (KSA)</t>
  </si>
  <si>
    <t xml:space="preserve">Brisbane (BNNE) - Vanuatu (VLI) </t>
  </si>
  <si>
    <t>Port villa (VLI) - Espititu Santo (SON)</t>
  </si>
  <si>
    <t>Manille (MNL) -Coron (USU)</t>
  </si>
  <si>
    <t>Manille (MNL) -Bohol (TAG)</t>
  </si>
  <si>
    <t>Los Angeles (LAX) - Moorea (MOZ)</t>
  </si>
  <si>
    <t>Moorea (MOZ) - Bora Bora (BOB)</t>
  </si>
  <si>
    <t>Vol entre les îles des Caraïbes</t>
  </si>
  <si>
    <t>Curacao (CUR) - Bonaire (Bon)</t>
  </si>
  <si>
    <t>Amsterdam (AMS) - Saint-Martin (SXM)</t>
  </si>
  <si>
    <t>Grenada (GND) - Barbados (BGI)</t>
  </si>
  <si>
    <t>Grenada (GND) - Sainte Lucie (UVF)</t>
  </si>
  <si>
    <t>Grenada (GND) - Guadeloupe (PTP)</t>
  </si>
  <si>
    <t>Grenada (GND) - Martinique (FDF)</t>
  </si>
  <si>
    <t>Guadeloupe (PTP) - Martinique (FDF)</t>
  </si>
  <si>
    <t>Paris (ORY) - Guadeloupe (PTP)</t>
  </si>
  <si>
    <t>Paris (ORY) - Martinique (FDF)</t>
  </si>
  <si>
    <t xml:space="preserve">Distance entre les aéroports </t>
  </si>
  <si>
    <t>5. Liveaboard</t>
  </si>
  <si>
    <t>Consommation spécifique liveaboard</t>
  </si>
  <si>
    <t>Puissance des moteurs</t>
  </si>
  <si>
    <t>Cv</t>
  </si>
  <si>
    <t xml:space="preserve">Vitesse de croisière </t>
  </si>
  <si>
    <t>Knots</t>
  </si>
  <si>
    <t xml:space="preserve">Distance parcourue </t>
  </si>
  <si>
    <t>Nombre de plongeurs</t>
  </si>
  <si>
    <t>l/h.Cv</t>
  </si>
  <si>
    <t>km/h</t>
  </si>
  <si>
    <t>5. Liveabord</t>
  </si>
  <si>
    <t>Mer Rouge</t>
  </si>
  <si>
    <t>Croisière Grand-Sud</t>
  </si>
  <si>
    <t>Croisière Sud</t>
  </si>
  <si>
    <t>Croisière Nord</t>
  </si>
  <si>
    <t>Chuuk</t>
  </si>
  <si>
    <t>Bikini</t>
  </si>
  <si>
    <t xml:space="preserve">Galapagos </t>
  </si>
  <si>
    <t>Destination</t>
  </si>
  <si>
    <t>5. Liveabord - paramètres connus</t>
  </si>
  <si>
    <t>6 Liveabord - Estimation svt destination</t>
  </si>
  <si>
    <t>Mer rouge - Croisière Grand-Sud</t>
  </si>
  <si>
    <t>Mer rouge -Croisière Sud</t>
  </si>
  <si>
    <t>Mer rouge -Croisière Nord</t>
  </si>
  <si>
    <t xml:space="preserve">7. Voyage en avion </t>
  </si>
  <si>
    <t xml:space="preserve">Consommation spécifique </t>
  </si>
  <si>
    <t>CV</t>
  </si>
  <si>
    <t xml:space="preserve">Knots </t>
  </si>
  <si>
    <t>Estimation  Liveaboard</t>
  </si>
  <si>
    <t>Heures nav.</t>
  </si>
  <si>
    <t xml:space="preserve">masse spécifique carburant </t>
  </si>
  <si>
    <t>CO2 par Kg de carburant</t>
  </si>
  <si>
    <t>Kg CO2/Kg gazole</t>
  </si>
  <si>
    <t>1 NM</t>
  </si>
  <si>
    <t>Km/h</t>
  </si>
  <si>
    <t>Plongeurs</t>
  </si>
  <si>
    <t xml:space="preserve"> Kg CO2 Total</t>
  </si>
  <si>
    <t>Kg CO2 /plongeur</t>
  </si>
  <si>
    <t>Nombre de plongée bateau (Daily Dive)</t>
  </si>
  <si>
    <t>Nombre croisière Mer rouge - Grand-Sud</t>
  </si>
  <si>
    <t>Nombre croisière Mer rouge - Sud</t>
  </si>
  <si>
    <t>Nombre croisière Mer rouge -Nord</t>
  </si>
  <si>
    <t>Nombre croisière Chuuk</t>
  </si>
  <si>
    <t>Nombre croisière Bikini</t>
  </si>
  <si>
    <t xml:space="preserve">Nombre croisière Galapagos </t>
  </si>
  <si>
    <t xml:space="preserve">Kg CO2/ croisière </t>
  </si>
  <si>
    <t>Galapagos 1</t>
  </si>
  <si>
    <t>Galapagos 2</t>
  </si>
  <si>
    <t>Vol vers l'Amérique Centrale</t>
  </si>
  <si>
    <t>Amsterdam (AMS) - Equateur (GYE)</t>
  </si>
  <si>
    <t>Amsterdam (AMS) - Mexique (MEX)</t>
  </si>
  <si>
    <t>Vol en Améique centrale</t>
  </si>
  <si>
    <t>Equateur (GYE) - Galapagos Seymour Airp (GPS)</t>
  </si>
  <si>
    <t xml:space="preserve">Distance </t>
  </si>
  <si>
    <t xml:space="preserve">CO2 eq. </t>
  </si>
  <si>
    <t>Kg CO2 eq</t>
  </si>
  <si>
    <t>Malpelo</t>
  </si>
  <si>
    <t>Madrid (MAD) - Colombie (CLO)</t>
  </si>
  <si>
    <t>Bruxelles (BRU) - Madrid (MAD)</t>
  </si>
  <si>
    <t xml:space="preserve">Malpelo </t>
  </si>
  <si>
    <t>Nombre de croisière à Malpelo</t>
  </si>
  <si>
    <t>Vol vers la mer rouge</t>
  </si>
  <si>
    <t>Bruxelles (BRU) - Hurghada (HUR)</t>
  </si>
  <si>
    <t>Bruxelles (BRU) -Tel-Aviv (TLV)</t>
  </si>
  <si>
    <t>Tel-Aviv (TLV) - Eilat (ETH)</t>
  </si>
  <si>
    <t>Bruxelles (BRU) - Amman (AMM)</t>
  </si>
  <si>
    <t xml:space="preserve"> Amman (AMM) - Aqaba (AQJ)</t>
  </si>
  <si>
    <t>Valeur moyenne</t>
  </si>
  <si>
    <t>Vol locaux mer rouge</t>
  </si>
  <si>
    <t>Bruxelles (BRU) - Sharm-el Sheikh (SSH)</t>
  </si>
  <si>
    <t>Bruxelles (BRU) - Marsa Alam (RMF)</t>
  </si>
  <si>
    <t xml:space="preserve">Valeur Moyenne </t>
  </si>
  <si>
    <t>Valeur moyenne vol vers les Caraïbes, le Pacifique</t>
  </si>
  <si>
    <t>Bikini Atoll</t>
  </si>
  <si>
    <t>3. Déplacement bateau A/R site de plongée</t>
  </si>
  <si>
    <t>4. Liveaboard</t>
  </si>
  <si>
    <t>BILAN ANNUEL CO2</t>
  </si>
  <si>
    <t>Nombre de Km</t>
  </si>
  <si>
    <t>Bilan CO2 par séjour</t>
  </si>
  <si>
    <t>Total C02 eq/séjour</t>
  </si>
  <si>
    <t xml:space="preserve">Total annuel </t>
  </si>
  <si>
    <t>4. Trajet bateau A/R site de plongée</t>
  </si>
  <si>
    <t>3. Trajet Avion distance destination</t>
  </si>
  <si>
    <t>Séjour 4</t>
  </si>
  <si>
    <t>Séjour 5</t>
  </si>
  <si>
    <t>Séjour 6</t>
  </si>
  <si>
    <t>Séjour 7</t>
  </si>
  <si>
    <t>Séjour 8</t>
  </si>
  <si>
    <t>Séjour 9</t>
  </si>
  <si>
    <t>Séjour 10</t>
  </si>
  <si>
    <t>Séjour 11</t>
  </si>
  <si>
    <t>Séjour 12</t>
  </si>
  <si>
    <t>Séjour 1 - Belgique/Luxembourg</t>
  </si>
  <si>
    <t xml:space="preserve">Séjour 2 - Zélande </t>
  </si>
  <si>
    <t xml:space="preserve">Nombre de voyage Caraibes </t>
  </si>
  <si>
    <t>Trajet</t>
  </si>
  <si>
    <t>Trajet Km</t>
  </si>
  <si>
    <t>Séjour 3 - Bonaire</t>
  </si>
  <si>
    <r>
      <rPr>
        <b/>
        <sz val="14"/>
        <color rgb="FFFF0000"/>
        <rFont val="Calibri"/>
        <family val="2"/>
        <scheme val="minor"/>
      </rPr>
      <t>Total Annuel</t>
    </r>
    <r>
      <rPr>
        <sz val="14"/>
        <color theme="1"/>
        <rFont val="Calibri"/>
        <family val="2"/>
        <scheme val="minor"/>
      </rPr>
      <t xml:space="preserve"> </t>
    </r>
  </si>
  <si>
    <t xml:space="preserve">Indien </t>
  </si>
  <si>
    <t>Maldives</t>
  </si>
  <si>
    <t>Nombre de croisière aux Maldives</t>
  </si>
  <si>
    <t>Nombre de voyage aux Maldives</t>
  </si>
  <si>
    <t>Vol océan Indien</t>
  </si>
  <si>
    <t>Bruxelles (BRU) - Doha(DOH)</t>
  </si>
  <si>
    <t>Doha(DOH) - Malé ( MLE)</t>
  </si>
  <si>
    <t>Solomons</t>
  </si>
  <si>
    <t>Solomons - Iron bottom sound</t>
  </si>
  <si>
    <t>Nombre de croisière Solomon (Iron bottom sound)</t>
  </si>
  <si>
    <t>Solomons - Iron Bottom sound</t>
  </si>
  <si>
    <t>Raja Ampat</t>
  </si>
  <si>
    <t>Amsterdam (AMS) - Jakarta(CGKS)</t>
  </si>
  <si>
    <t>Jakarta(CGKS) - Sorong (SOQ)</t>
  </si>
  <si>
    <t xml:space="preserve">Rajat Ampat </t>
  </si>
  <si>
    <t>Nombre de croisière Rajat Ampat</t>
  </si>
  <si>
    <t>Cocos Islands</t>
  </si>
  <si>
    <t>Nombre de croisière aux ïles Cocos</t>
  </si>
  <si>
    <t>ïles Cocos</t>
  </si>
  <si>
    <t>Paris (CDG) - Panama (PTY)</t>
  </si>
  <si>
    <t>Panama (PTY) - Costa Rica (SJO)</t>
  </si>
  <si>
    <t>Cocos islands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</si>
</sst>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10"/>
      <color indexed="81"/>
      <name val="Tahoma"/>
      <family val="2"/>
    </font>
    <font>
      <b/>
      <sz val="11"/>
      <color indexed="81"/>
      <name val="Tahoma"/>
      <family val="2"/>
    </font>
    <font>
      <b/>
      <sz val="12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rgb="FF009900"/>
      <name val="Calibri"/>
      <family val="2"/>
      <scheme val="minor"/>
    </font>
    <font>
      <sz val="9"/>
      <color indexed="81"/>
      <name val="Tahoma"/>
      <charset val="1"/>
    </font>
    <font>
      <sz val="10"/>
      <color indexed="81"/>
      <name val="Tahoma"/>
      <family val="2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9">
    <xf numFmtId="0" fontId="0" fillId="0" borderId="0" xfId="0"/>
    <xf numFmtId="0" fontId="4" fillId="0" borderId="0" xfId="0" applyFont="1"/>
    <xf numFmtId="0" fontId="3" fillId="0" borderId="0" xfId="0" applyFont="1"/>
    <xf numFmtId="0" fontId="5" fillId="0" borderId="0" xfId="0" applyFont="1"/>
    <xf numFmtId="44" fontId="6" fillId="0" borderId="0" xfId="1" applyFont="1"/>
    <xf numFmtId="0" fontId="3" fillId="0" borderId="0" xfId="0" applyFont="1" applyAlignment="1">
      <alignment horizontal="right"/>
    </xf>
    <xf numFmtId="0" fontId="7" fillId="0" borderId="0" xfId="0" applyFont="1"/>
    <xf numFmtId="0" fontId="2" fillId="0" borderId="0" xfId="0" applyFont="1"/>
    <xf numFmtId="0" fontId="9" fillId="0" borderId="0" xfId="2"/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0" fillId="0" borderId="0" xfId="0" applyAlignment="1">
      <alignment horizontal="center" vertical="top"/>
    </xf>
    <xf numFmtId="0" fontId="12" fillId="0" borderId="0" xfId="0" applyFont="1" applyAlignment="1">
      <alignment horizontal="center" vertical="top"/>
    </xf>
    <xf numFmtId="1" fontId="13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/>
    </xf>
    <xf numFmtId="1" fontId="8" fillId="0" borderId="0" xfId="0" applyNumberFormat="1" applyFont="1"/>
    <xf numFmtId="1" fontId="2" fillId="0" borderId="0" xfId="0" applyNumberFormat="1" applyFont="1"/>
    <xf numFmtId="1" fontId="2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3" fillId="0" borderId="1" xfId="0" applyFont="1" applyBorder="1"/>
    <xf numFmtId="0" fontId="0" fillId="0" borderId="1" xfId="0" applyBorder="1" applyAlignment="1">
      <alignment horizontal="center" vertical="top"/>
    </xf>
    <xf numFmtId="0" fontId="0" fillId="0" borderId="1" xfId="0" applyBorder="1"/>
    <xf numFmtId="1" fontId="2" fillId="0" borderId="1" xfId="0" applyNumberFormat="1" applyFont="1" applyBorder="1" applyAlignment="1">
      <alignment horizontal="center" vertical="top"/>
    </xf>
    <xf numFmtId="0" fontId="0" fillId="0" borderId="1" xfId="0" applyFill="1" applyBorder="1"/>
    <xf numFmtId="1" fontId="2" fillId="0" borderId="1" xfId="0" applyNumberFormat="1" applyFont="1" applyBorder="1" applyAlignment="1">
      <alignment horizontal="center"/>
    </xf>
    <xf numFmtId="0" fontId="0" fillId="0" borderId="2" xfId="0" applyBorder="1"/>
    <xf numFmtId="0" fontId="2" fillId="0" borderId="2" xfId="0" applyFont="1" applyBorder="1"/>
    <xf numFmtId="0" fontId="17" fillId="0" borderId="0" xfId="0" applyFont="1"/>
    <xf numFmtId="1" fontId="18" fillId="0" borderId="0" xfId="0" applyNumberFormat="1" applyFont="1"/>
    <xf numFmtId="0" fontId="19" fillId="0" borderId="0" xfId="0" applyFont="1"/>
    <xf numFmtId="0" fontId="20" fillId="0" borderId="0" xfId="0" applyFont="1"/>
    <xf numFmtId="0" fontId="5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1" fillId="0" borderId="0" xfId="0" applyFont="1" applyAlignment="1" applyProtection="1">
      <alignment horizontal="center" vertical="top"/>
      <protection locked="0"/>
    </xf>
    <xf numFmtId="1" fontId="5" fillId="0" borderId="0" xfId="0" applyNumberFormat="1" applyFont="1" applyProtection="1">
      <protection locked="0"/>
    </xf>
    <xf numFmtId="0" fontId="23" fillId="0" borderId="0" xfId="0" applyFont="1" applyAlignment="1">
      <alignment horizontal="right" vertical="top"/>
    </xf>
    <xf numFmtId="1" fontId="6" fillId="0" borderId="3" xfId="0" applyNumberFormat="1" applyFont="1" applyBorder="1"/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9" fillId="0" borderId="2" xfId="2" applyBorder="1" applyAlignment="1">
      <alignment horizontal="center"/>
    </xf>
    <xf numFmtId="0" fontId="0" fillId="0" borderId="0" xfId="0" applyAlignment="1">
      <alignment horizontal="center" vertical="top" wrapText="1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769620</xdr:colOff>
      <xdr:row>14</xdr:row>
      <xdr:rowOff>7620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EA143F37-BF38-40E7-A8E5-39D9D057E6D0}"/>
            </a:ext>
          </a:extLst>
        </xdr:cNvPr>
        <xdr:cNvSpPr txBox="1"/>
      </xdr:nvSpPr>
      <xdr:spPr>
        <a:xfrm>
          <a:off x="6035040" y="228600"/>
          <a:ext cx="7147560" cy="24307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fr-FR" sz="1200" u="sng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Détermine le bilan carbone annuel a l’aide de destinations préprogrammées. La détermination est basée sur des valeurs moyennes. 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Symbol" panose="05050102010706020507" pitchFamily="18" charset="2"/>
            <a:buChar char=""/>
          </a:pPr>
          <a:r>
            <a:rPr lang="fr-FR" sz="12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Les chiffres en bleu sont des valeurs paramétrables modifiables par l’utilisateur.  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Symbol" panose="05050102010706020507" pitchFamily="18" charset="2"/>
            <a:buChar char=""/>
          </a:pPr>
          <a:r>
            <a:rPr lang="fr-FR" sz="12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Les chiffres en rouge sont des valeurs calculées. NE PAS MODIFIER CES VALEURS. </a:t>
          </a:r>
        </a:p>
        <a:p>
          <a:pPr marL="342900" lvl="0" indent="-342900">
            <a:lnSpc>
              <a:spcPct val="107000"/>
            </a:lnSpc>
            <a:spcAft>
              <a:spcPts val="800"/>
            </a:spcAft>
            <a:buFont typeface="Symbol" panose="05050102010706020507" pitchFamily="18" charset="2"/>
            <a:buChar char=""/>
          </a:pPr>
          <a:r>
            <a:rPr lang="fr-FR" sz="12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Les chiffres en vert sont donnés par les lois de la physique. NE PAS MODIFIER CES VALEURS.</a:t>
          </a:r>
        </a:p>
        <a:p>
          <a:pPr marL="342900" lvl="0" indent="-342900">
            <a:lnSpc>
              <a:spcPct val="107000"/>
            </a:lnSpc>
            <a:spcAft>
              <a:spcPts val="800"/>
            </a:spcAft>
            <a:buFont typeface="Symbol" panose="05050102010706020507" pitchFamily="18" charset="2"/>
            <a:buChar char=""/>
          </a:pPr>
          <a:r>
            <a:rPr lang="fr-FR" sz="12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La consommation spécifique des "Liveaboard" est une valeur basée sur la vitesse de croisière dans de bonne condition de mer. Elle</a:t>
          </a:r>
          <a:r>
            <a:rPr lang="fr-FR" sz="1200" baseline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peut varier fortement en fonction de la vitesse et des conditions de mer.</a:t>
          </a:r>
        </a:p>
        <a:p>
          <a:pPr marL="342900" lvl="0" indent="-342900">
            <a:lnSpc>
              <a:spcPct val="107000"/>
            </a:lnSpc>
            <a:spcAft>
              <a:spcPts val="800"/>
            </a:spcAft>
            <a:buFont typeface="Symbol" panose="05050102010706020507" pitchFamily="18" charset="2"/>
            <a:buChar char=""/>
          </a:pPr>
          <a:r>
            <a:rPr lang="fr-FR" sz="1200" b="1" baseline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Ne pas remplir la casse "Nombre de voyage" si le voyage </a:t>
          </a:r>
          <a:r>
            <a:rPr lang="fr-FR" sz="1200" b="1" u="dbl" baseline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est une croisière à Chuuk, Bibini, Galapagos, Malpelo, les Solomons, les îles Cocos ou les Maldives</a:t>
          </a:r>
          <a:r>
            <a:rPr lang="fr-FR" sz="1200" u="dbl" baseline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. </a:t>
          </a:r>
          <a:r>
            <a:rPr lang="fr-FR" sz="1200" u="none" baseline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Le trajet en avion est calculé directement lorsqu'on rempli la casse "nombre de croisière"</a:t>
          </a:r>
          <a:endParaRPr lang="fr-FR" sz="1200" u="none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48</xdr:row>
      <xdr:rowOff>0</xdr:rowOff>
    </xdr:from>
    <xdr:to>
      <xdr:col>3</xdr:col>
      <xdr:colOff>7620</xdr:colOff>
      <xdr:row>48</xdr:row>
      <xdr:rowOff>7620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32DEC67A-9F48-499B-AB90-0CFA2C3551D5}"/>
            </a:ext>
          </a:extLst>
        </xdr:cNvPr>
        <xdr:cNvCxnSpPr/>
      </xdr:nvCxnSpPr>
      <xdr:spPr>
        <a:xfrm flipV="1">
          <a:off x="15240" y="8976360"/>
          <a:ext cx="3802380" cy="7620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1135380</xdr:colOff>
      <xdr:row>0</xdr:row>
      <xdr:rowOff>83820</xdr:rowOff>
    </xdr:from>
    <xdr:to>
      <xdr:col>12</xdr:col>
      <xdr:colOff>22860</xdr:colOff>
      <xdr:row>9</xdr:row>
      <xdr:rowOff>167640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614140BB-294A-408A-A190-A4D335AD948F}"/>
            </a:ext>
          </a:extLst>
        </xdr:cNvPr>
        <xdr:cNvSpPr txBox="1"/>
      </xdr:nvSpPr>
      <xdr:spPr>
        <a:xfrm>
          <a:off x="5425440" y="83820"/>
          <a:ext cx="7284720" cy="1821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fr-FR" sz="12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Détermine le bilan carbone  par séjour . </a:t>
          </a:r>
        </a:p>
        <a:p>
          <a:pPr marL="342900" marR="0" lvl="0" indent="-342900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 panose="05050102010706020507" pitchFamily="18" charset="2"/>
            <a:buChar char=""/>
            <a:tabLst/>
            <a:defRPr/>
          </a:pP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Les chiffres en bleu sont des valeurs paramétrables modifiables par l’utilisateur.  </a:t>
          </a:r>
        </a:p>
        <a:p>
          <a:pPr marL="342900" marR="0" lvl="0" indent="-342900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 panose="05050102010706020507" pitchFamily="18" charset="2"/>
            <a:buChar char=""/>
            <a:tabLst/>
            <a:defRPr/>
          </a:pP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Les chiffres en rouge sont des valeurs calculées. NE PAS MODIFIER CES VALEURS. </a:t>
          </a:r>
        </a:p>
        <a:p>
          <a:pPr marL="342900" marR="0" lvl="0" indent="-342900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 typeface="Symbol" panose="05050102010706020507" pitchFamily="18" charset="2"/>
            <a:buChar char=""/>
            <a:tabLst/>
            <a:defRPr/>
          </a:pP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Les chiffres en vert sont donnés par les lois de la physique. NE PAS MODIFIER CES VALEURS.</a:t>
          </a:r>
        </a:p>
        <a:p>
          <a:pPr marL="342900" marR="0" lvl="0" indent="-342900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 typeface="Symbol" panose="05050102010706020507" pitchFamily="18" charset="2"/>
            <a:buChar char=""/>
            <a:tabLst/>
            <a:defRPr/>
          </a:pP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Trajet: distance entre les aéroports. Voir le feuille "Trajet avion."</a:t>
          </a:r>
        </a:p>
        <a:p>
          <a:pPr marL="342900" marR="0" lvl="0" indent="-342900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 typeface="Symbol" panose="05050102010706020507" pitchFamily="18" charset="2"/>
            <a:buChar char=""/>
            <a:tabLst/>
            <a:defRPr/>
          </a:pPr>
          <a:r>
            <a:rPr lang="fr-F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consommation spécifique des "Liveaboard" est une valeur basée sur la vitesse de croisière dans de bonne condition de mer. Elle</a:t>
          </a:r>
          <a:r>
            <a:rPr lang="fr-FR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peut varier fortement en fonction de la vitesse et des conditions de mer.</a:t>
          </a:r>
          <a:endParaRPr lang="fr-FR" sz="1200">
            <a:effectLst/>
            <a:latin typeface="+mn-lt"/>
          </a:endParaRPr>
        </a:p>
        <a:p>
          <a:pPr marL="342900" marR="0" lvl="0" indent="-342900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 typeface="Symbol" panose="05050102010706020507" pitchFamily="18" charset="2"/>
            <a:buChar char=""/>
            <a:tabLst/>
            <a:defRPr/>
          </a:pPr>
          <a:endParaRPr kumimoji="0" lang="fr-FR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 typeface="Symbol" panose="05050102010706020507" pitchFamily="18" charset="2"/>
            <a:buChar char=""/>
            <a:tabLst/>
            <a:defRPr/>
          </a:pPr>
          <a:endParaRPr kumimoji="0" lang="fr-FR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oat-fuel-economy.com/francais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fr.wikipedia.org/wiki/Impact_climatique_du_transport_a%C3%A9rien" TargetMode="External"/><Relationship Id="rId1" Type="http://schemas.openxmlformats.org/officeDocument/2006/relationships/hyperlink" Target="https://www.boat-fuel-economy.com/francais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fr.wikipedia.org/wiki/Impact_climatique_du_transport_a&#233;rien" TargetMode="Externa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14730-169F-461B-8162-AE9C6C583C06}">
  <dimension ref="A1:F78"/>
  <sheetViews>
    <sheetView tabSelected="1" topLeftCell="A31" workbookViewId="0">
      <selection activeCell="E21" sqref="E21"/>
    </sheetView>
  </sheetViews>
  <sheetFormatPr baseColWidth="10" defaultRowHeight="14.4" x14ac:dyDescent="0.3"/>
  <cols>
    <col min="1" max="1" width="42.6640625" bestFit="1" customWidth="1"/>
    <col min="2" max="2" width="18.44140625" bestFit="1" customWidth="1"/>
    <col min="3" max="3" width="15.109375" bestFit="1" customWidth="1"/>
    <col min="4" max="5" width="16.6640625" bestFit="1" customWidth="1"/>
    <col min="6" max="6" width="30.109375" bestFit="1" customWidth="1"/>
  </cols>
  <sheetData>
    <row r="1" spans="1:5" ht="18" x14ac:dyDescent="0.35">
      <c r="A1" s="42" t="s">
        <v>184</v>
      </c>
      <c r="B1" s="42"/>
      <c r="C1" s="42"/>
      <c r="D1" s="42"/>
      <c r="E1" s="42"/>
    </row>
    <row r="2" spans="1:5" ht="18" x14ac:dyDescent="0.35">
      <c r="A2" s="1" t="s">
        <v>0</v>
      </c>
    </row>
    <row r="3" spans="1:5" x14ac:dyDescent="0.3">
      <c r="A3" s="2" t="s">
        <v>1</v>
      </c>
    </row>
    <row r="4" spans="1:5" x14ac:dyDescent="0.3">
      <c r="A4" t="s">
        <v>2</v>
      </c>
      <c r="B4" s="34">
        <v>200</v>
      </c>
    </row>
    <row r="5" spans="1:5" x14ac:dyDescent="0.3">
      <c r="A5" t="s">
        <v>146</v>
      </c>
      <c r="B5" s="34">
        <v>60</v>
      </c>
    </row>
    <row r="6" spans="1:5" x14ac:dyDescent="0.3">
      <c r="A6" t="s">
        <v>202</v>
      </c>
      <c r="B6" s="34">
        <v>1</v>
      </c>
    </row>
    <row r="7" spans="1:5" x14ac:dyDescent="0.3">
      <c r="A7" t="s">
        <v>4</v>
      </c>
      <c r="B7" s="34">
        <v>1</v>
      </c>
      <c r="D7" s="9" t="s">
        <v>37</v>
      </c>
    </row>
    <row r="8" spans="1:5" x14ac:dyDescent="0.3">
      <c r="A8" t="s">
        <v>5</v>
      </c>
      <c r="B8" s="34">
        <v>1</v>
      </c>
      <c r="D8" s="9" t="s">
        <v>153</v>
      </c>
    </row>
    <row r="9" spans="1:5" x14ac:dyDescent="0.3">
      <c r="A9" t="s">
        <v>210</v>
      </c>
      <c r="B9" s="34">
        <v>1</v>
      </c>
      <c r="D9" s="9"/>
    </row>
    <row r="10" spans="1:5" x14ac:dyDescent="0.3">
      <c r="A10" t="s">
        <v>147</v>
      </c>
      <c r="B10" s="34">
        <v>1</v>
      </c>
      <c r="D10" s="36">
        <v>274</v>
      </c>
    </row>
    <row r="11" spans="1:5" x14ac:dyDescent="0.3">
      <c r="A11" t="s">
        <v>148</v>
      </c>
      <c r="B11" s="34">
        <v>1</v>
      </c>
      <c r="D11" s="36">
        <v>196</v>
      </c>
    </row>
    <row r="12" spans="1:5" x14ac:dyDescent="0.3">
      <c r="A12" t="s">
        <v>149</v>
      </c>
      <c r="B12" s="34">
        <v>1</v>
      </c>
      <c r="D12" s="36">
        <v>118</v>
      </c>
    </row>
    <row r="13" spans="1:5" x14ac:dyDescent="0.3">
      <c r="A13" t="s">
        <v>150</v>
      </c>
      <c r="B13" s="34">
        <v>1</v>
      </c>
      <c r="D13" s="36">
        <v>135</v>
      </c>
    </row>
    <row r="14" spans="1:5" x14ac:dyDescent="0.3">
      <c r="A14" t="s">
        <v>151</v>
      </c>
      <c r="B14" s="34">
        <v>1</v>
      </c>
      <c r="D14" s="36">
        <v>1123</v>
      </c>
    </row>
    <row r="15" spans="1:5" x14ac:dyDescent="0.3">
      <c r="A15" t="s">
        <v>152</v>
      </c>
      <c r="B15" s="34">
        <v>1</v>
      </c>
      <c r="D15" s="36">
        <v>230</v>
      </c>
    </row>
    <row r="16" spans="1:5" x14ac:dyDescent="0.3">
      <c r="A16" t="s">
        <v>168</v>
      </c>
      <c r="B16" s="34">
        <v>1</v>
      </c>
      <c r="D16" s="36">
        <v>700</v>
      </c>
    </row>
    <row r="17" spans="1:6" x14ac:dyDescent="0.3">
      <c r="A17" t="s">
        <v>209</v>
      </c>
      <c r="B17" s="34">
        <v>1</v>
      </c>
      <c r="D17" s="36">
        <v>210</v>
      </c>
    </row>
    <row r="18" spans="1:6" x14ac:dyDescent="0.3">
      <c r="A18" t="s">
        <v>216</v>
      </c>
      <c r="B18" s="34">
        <v>1</v>
      </c>
      <c r="D18" s="36">
        <v>442</v>
      </c>
    </row>
    <row r="19" spans="1:6" x14ac:dyDescent="0.3">
      <c r="A19" t="s">
        <v>222</v>
      </c>
      <c r="B19" s="34">
        <v>1</v>
      </c>
      <c r="D19" s="36">
        <v>253</v>
      </c>
    </row>
    <row r="20" spans="1:6" x14ac:dyDescent="0.3">
      <c r="A20" t="s">
        <v>224</v>
      </c>
      <c r="B20" s="34">
        <v>1</v>
      </c>
      <c r="D20" s="16">
        <v>522</v>
      </c>
    </row>
    <row r="21" spans="1:6" x14ac:dyDescent="0.3">
      <c r="B21" s="3"/>
      <c r="D21" s="16"/>
    </row>
    <row r="22" spans="1:6" x14ac:dyDescent="0.3">
      <c r="A22" s="2" t="s">
        <v>6</v>
      </c>
    </row>
    <row r="23" spans="1:6" x14ac:dyDescent="0.3">
      <c r="A23" t="s">
        <v>7</v>
      </c>
      <c r="B23" s="34">
        <v>10000</v>
      </c>
      <c r="C23" t="s">
        <v>8</v>
      </c>
    </row>
    <row r="24" spans="1:6" x14ac:dyDescent="0.3">
      <c r="A24" t="s">
        <v>9</v>
      </c>
      <c r="B24" s="34">
        <v>1</v>
      </c>
      <c r="C24" t="s">
        <v>10</v>
      </c>
    </row>
    <row r="25" spans="1:6" x14ac:dyDescent="0.3">
      <c r="A25" t="s">
        <v>11</v>
      </c>
      <c r="B25" s="34">
        <v>5</v>
      </c>
      <c r="C25" t="s">
        <v>12</v>
      </c>
      <c r="D25">
        <f>+B25*B41</f>
        <v>4</v>
      </c>
      <c r="E25" t="s">
        <v>13</v>
      </c>
    </row>
    <row r="27" spans="1:6" x14ac:dyDescent="0.3">
      <c r="A27" s="2" t="s">
        <v>182</v>
      </c>
      <c r="C27" s="8" t="s">
        <v>55</v>
      </c>
    </row>
    <row r="28" spans="1:6" x14ac:dyDescent="0.3">
      <c r="A28" t="s">
        <v>24</v>
      </c>
      <c r="B28" s="34">
        <v>0.6</v>
      </c>
      <c r="C28" t="s">
        <v>25</v>
      </c>
    </row>
    <row r="29" spans="1:6" x14ac:dyDescent="0.3">
      <c r="A29" t="s">
        <v>26</v>
      </c>
      <c r="B29" s="34">
        <v>40</v>
      </c>
      <c r="C29" t="s">
        <v>27</v>
      </c>
      <c r="F29" s="8"/>
    </row>
    <row r="30" spans="1:6" x14ac:dyDescent="0.3">
      <c r="A30" t="s">
        <v>28</v>
      </c>
      <c r="B30" s="34">
        <v>12</v>
      </c>
    </row>
    <row r="31" spans="1:6" x14ac:dyDescent="0.3">
      <c r="B31" s="3"/>
    </row>
    <row r="32" spans="1:6" x14ac:dyDescent="0.3">
      <c r="A32" s="2" t="s">
        <v>183</v>
      </c>
      <c r="B32" s="3"/>
    </row>
    <row r="33" spans="1:5" x14ac:dyDescent="0.3">
      <c r="A33" t="s">
        <v>110</v>
      </c>
      <c r="B33" s="34">
        <v>300</v>
      </c>
      <c r="C33" t="s">
        <v>111</v>
      </c>
    </row>
    <row r="34" spans="1:5" x14ac:dyDescent="0.3">
      <c r="A34" t="s">
        <v>115</v>
      </c>
      <c r="B34" s="34">
        <v>20</v>
      </c>
    </row>
    <row r="35" spans="1:5" x14ac:dyDescent="0.3">
      <c r="A35" t="s">
        <v>112</v>
      </c>
      <c r="B35" s="34">
        <v>12</v>
      </c>
      <c r="C35" t="s">
        <v>113</v>
      </c>
      <c r="D35" s="7">
        <f>+B35*1.852</f>
        <v>22.224</v>
      </c>
      <c r="E35" t="s">
        <v>117</v>
      </c>
    </row>
    <row r="36" spans="1:5" x14ac:dyDescent="0.3">
      <c r="A36" t="s">
        <v>114</v>
      </c>
      <c r="B36" s="34">
        <v>200</v>
      </c>
      <c r="C36" t="s">
        <v>36</v>
      </c>
    </row>
    <row r="38" spans="1:5" ht="18" x14ac:dyDescent="0.35">
      <c r="A38" s="1" t="s">
        <v>29</v>
      </c>
    </row>
    <row r="39" spans="1:5" x14ac:dyDescent="0.3">
      <c r="A39" s="2" t="s">
        <v>30</v>
      </c>
    </row>
    <row r="40" spans="1:5" x14ac:dyDescent="0.3">
      <c r="A40" t="s">
        <v>31</v>
      </c>
      <c r="B40" s="33">
        <v>0.82</v>
      </c>
      <c r="C40" t="s">
        <v>32</v>
      </c>
    </row>
    <row r="41" spans="1:5" x14ac:dyDescent="0.3">
      <c r="A41" t="s">
        <v>33</v>
      </c>
      <c r="B41" s="33">
        <v>0.8</v>
      </c>
      <c r="C41" t="s">
        <v>32</v>
      </c>
    </row>
    <row r="42" spans="1:5" x14ac:dyDescent="0.3">
      <c r="A42" t="s">
        <v>34</v>
      </c>
      <c r="B42" s="33">
        <v>3.16</v>
      </c>
      <c r="C42" t="s">
        <v>35</v>
      </c>
    </row>
    <row r="43" spans="1:5" x14ac:dyDescent="0.3">
      <c r="A43" t="s">
        <v>38</v>
      </c>
      <c r="B43" s="35">
        <v>1</v>
      </c>
      <c r="C43" t="s">
        <v>39</v>
      </c>
    </row>
    <row r="44" spans="1:5" x14ac:dyDescent="0.3">
      <c r="A44" t="s">
        <v>109</v>
      </c>
      <c r="B44" s="34">
        <v>0.2</v>
      </c>
      <c r="C44" t="s">
        <v>116</v>
      </c>
    </row>
    <row r="46" spans="1:5" ht="18" x14ac:dyDescent="0.35">
      <c r="A46" s="4" t="s">
        <v>40</v>
      </c>
    </row>
    <row r="47" spans="1:5" x14ac:dyDescent="0.3">
      <c r="A47" s="2" t="s">
        <v>41</v>
      </c>
      <c r="B47" s="18">
        <f>+B4*B43</f>
        <v>200</v>
      </c>
      <c r="C47" t="s">
        <v>42</v>
      </c>
    </row>
    <row r="48" spans="1:5" x14ac:dyDescent="0.3">
      <c r="A48" s="2" t="s">
        <v>43</v>
      </c>
      <c r="B48" s="18">
        <f>+B28*B29*B5*B40*B42/B30</f>
        <v>310.94400000000002</v>
      </c>
      <c r="C48" t="s">
        <v>42</v>
      </c>
    </row>
    <row r="49" spans="1:4" x14ac:dyDescent="0.3">
      <c r="A49" s="2" t="s">
        <v>44</v>
      </c>
      <c r="B49" s="18">
        <f>+B23*B25*B40*B42/(B24*100)</f>
        <v>1295.5999999999999</v>
      </c>
      <c r="C49" t="s">
        <v>42</v>
      </c>
    </row>
    <row r="50" spans="1:4" x14ac:dyDescent="0.3">
      <c r="A50" s="2" t="s">
        <v>127</v>
      </c>
      <c r="B50" s="18">
        <f>+(B36/D35)*B33*B44*B40*B42/B34</f>
        <v>69.956803455723545</v>
      </c>
      <c r="C50" t="s">
        <v>42</v>
      </c>
    </row>
    <row r="51" spans="1:4" x14ac:dyDescent="0.3">
      <c r="A51" s="2" t="s">
        <v>128</v>
      </c>
      <c r="B51" s="18"/>
    </row>
    <row r="52" spans="1:4" x14ac:dyDescent="0.3">
      <c r="A52" t="s">
        <v>129</v>
      </c>
      <c r="B52" s="18">
        <f>+$D10*$B10</f>
        <v>274</v>
      </c>
      <c r="C52" t="s">
        <v>42</v>
      </c>
      <c r="D52" s="16"/>
    </row>
    <row r="53" spans="1:4" x14ac:dyDescent="0.3">
      <c r="A53" t="s">
        <v>130</v>
      </c>
      <c r="B53" s="18">
        <f>+$D11*$B11</f>
        <v>196</v>
      </c>
      <c r="C53" t="s">
        <v>42</v>
      </c>
      <c r="D53" s="16"/>
    </row>
    <row r="54" spans="1:4" x14ac:dyDescent="0.3">
      <c r="A54" t="s">
        <v>131</v>
      </c>
      <c r="B54" s="18">
        <f>+$D12*$B12</f>
        <v>118</v>
      </c>
      <c r="C54" t="s">
        <v>42</v>
      </c>
      <c r="D54" s="16"/>
    </row>
    <row r="55" spans="1:4" x14ac:dyDescent="0.3">
      <c r="A55" t="s">
        <v>123</v>
      </c>
      <c r="B55" s="18">
        <f>+$D13*$B13</f>
        <v>135</v>
      </c>
      <c r="C55" t="s">
        <v>42</v>
      </c>
      <c r="D55" s="16"/>
    </row>
    <row r="56" spans="1:4" x14ac:dyDescent="0.3">
      <c r="A56" t="s">
        <v>124</v>
      </c>
      <c r="B56" s="18">
        <f>+$D14*$B14</f>
        <v>1123</v>
      </c>
      <c r="C56" t="s">
        <v>42</v>
      </c>
      <c r="D56" s="16"/>
    </row>
    <row r="57" spans="1:4" x14ac:dyDescent="0.3">
      <c r="A57" t="s">
        <v>164</v>
      </c>
      <c r="B57" s="18">
        <f>+B16*D16</f>
        <v>700</v>
      </c>
      <c r="C57" t="s">
        <v>42</v>
      </c>
      <c r="D57" s="16"/>
    </row>
    <row r="58" spans="1:4" x14ac:dyDescent="0.3">
      <c r="A58" t="s">
        <v>125</v>
      </c>
      <c r="B58" s="18">
        <f>+$D15*$B15</f>
        <v>230</v>
      </c>
      <c r="C58" t="s">
        <v>42</v>
      </c>
      <c r="D58" s="16"/>
    </row>
    <row r="59" spans="1:4" x14ac:dyDescent="0.3">
      <c r="A59" t="s">
        <v>208</v>
      </c>
      <c r="B59" s="18">
        <f>+B17*D17</f>
        <v>210</v>
      </c>
      <c r="C59" t="s">
        <v>42</v>
      </c>
      <c r="D59" s="16"/>
    </row>
    <row r="60" spans="1:4" x14ac:dyDescent="0.3">
      <c r="A60" t="s">
        <v>217</v>
      </c>
      <c r="B60" s="18">
        <f>+B18*D18</f>
        <v>442</v>
      </c>
      <c r="C60" t="s">
        <v>42</v>
      </c>
      <c r="D60" s="16"/>
    </row>
    <row r="61" spans="1:4" x14ac:dyDescent="0.3">
      <c r="A61" t="s">
        <v>218</v>
      </c>
      <c r="B61" s="18">
        <f>+B19*D19</f>
        <v>253</v>
      </c>
      <c r="C61" t="s">
        <v>42</v>
      </c>
      <c r="D61" s="16"/>
    </row>
    <row r="62" spans="1:4" x14ac:dyDescent="0.3">
      <c r="A62" t="s">
        <v>225</v>
      </c>
      <c r="B62" s="18">
        <f>+D20*B20</f>
        <v>522</v>
      </c>
      <c r="C62" t="s">
        <v>42</v>
      </c>
      <c r="D62" s="16"/>
    </row>
    <row r="63" spans="1:4" x14ac:dyDescent="0.3">
      <c r="B63" s="18"/>
      <c r="D63" s="16"/>
    </row>
    <row r="64" spans="1:4" x14ac:dyDescent="0.3">
      <c r="A64" s="2" t="s">
        <v>132</v>
      </c>
      <c r="B64" s="18"/>
    </row>
    <row r="65" spans="1:3" x14ac:dyDescent="0.3">
      <c r="A65" t="s">
        <v>46</v>
      </c>
      <c r="B65" s="18">
        <f>(1755*B8)+(1755*B10)+(1755*B11)+(1755*B12)</f>
        <v>7020</v>
      </c>
      <c r="C65" t="s">
        <v>47</v>
      </c>
    </row>
    <row r="66" spans="1:3" x14ac:dyDescent="0.3">
      <c r="A66" t="s">
        <v>48</v>
      </c>
      <c r="B66" s="18">
        <f>3528*B6</f>
        <v>3528</v>
      </c>
      <c r="C66" t="s">
        <v>47</v>
      </c>
    </row>
    <row r="67" spans="1:3" x14ac:dyDescent="0.3">
      <c r="A67" t="s">
        <v>49</v>
      </c>
      <c r="B67" s="18">
        <f>6595*B7</f>
        <v>6595</v>
      </c>
      <c r="C67" t="s">
        <v>47</v>
      </c>
    </row>
    <row r="68" spans="1:3" x14ac:dyDescent="0.3">
      <c r="A68" t="s">
        <v>167</v>
      </c>
      <c r="B68" s="18">
        <f>4398*B16</f>
        <v>4398</v>
      </c>
      <c r="C68" t="s">
        <v>47</v>
      </c>
    </row>
    <row r="69" spans="1:3" x14ac:dyDescent="0.3">
      <c r="A69" t="s">
        <v>125</v>
      </c>
      <c r="B69" s="18">
        <f>5141*B15</f>
        <v>5141</v>
      </c>
      <c r="C69" t="s">
        <v>47</v>
      </c>
    </row>
    <row r="70" spans="1:3" x14ac:dyDescent="0.3">
      <c r="A70" t="s">
        <v>123</v>
      </c>
      <c r="B70" s="18">
        <f>6541*B13</f>
        <v>6541</v>
      </c>
      <c r="C70" t="s">
        <v>47</v>
      </c>
    </row>
    <row r="71" spans="1:3" x14ac:dyDescent="0.3">
      <c r="A71" t="s">
        <v>181</v>
      </c>
      <c r="B71" s="18">
        <f>8260*B14</f>
        <v>8260</v>
      </c>
      <c r="C71" t="s">
        <v>47</v>
      </c>
    </row>
    <row r="72" spans="1:3" x14ac:dyDescent="0.3">
      <c r="A72" t="s">
        <v>208</v>
      </c>
      <c r="B72" s="18">
        <f>4536*(B9+B17)</f>
        <v>9072</v>
      </c>
      <c r="C72" t="s">
        <v>47</v>
      </c>
    </row>
    <row r="73" spans="1:3" x14ac:dyDescent="0.3">
      <c r="A73" t="s">
        <v>217</v>
      </c>
      <c r="B73" s="18">
        <f>7451*B18</f>
        <v>7451</v>
      </c>
      <c r="C73" t="s">
        <v>47</v>
      </c>
    </row>
    <row r="74" spans="1:3" x14ac:dyDescent="0.3">
      <c r="A74" t="s">
        <v>218</v>
      </c>
      <c r="B74" s="18">
        <f>7961*B19</f>
        <v>7961</v>
      </c>
      <c r="C74" t="s">
        <v>47</v>
      </c>
    </row>
    <row r="75" spans="1:3" x14ac:dyDescent="0.3">
      <c r="A75" t="s">
        <v>228</v>
      </c>
      <c r="B75" s="18">
        <f>4552*'Bilan annuel rapide'!B20</f>
        <v>4552</v>
      </c>
      <c r="C75" t="s">
        <v>47</v>
      </c>
    </row>
    <row r="76" spans="1:3" x14ac:dyDescent="0.3">
      <c r="A76" s="5" t="s">
        <v>50</v>
      </c>
      <c r="B76" s="18">
        <f>+B65+B66+B67+B68+B69+B70+B71+B72+B73+B74+B75</f>
        <v>70519</v>
      </c>
      <c r="C76" t="s">
        <v>47</v>
      </c>
    </row>
    <row r="78" spans="1:3" ht="21" x14ac:dyDescent="0.4">
      <c r="A78" s="6" t="s">
        <v>51</v>
      </c>
      <c r="B78" s="17">
        <f>+B47+B48+B49+B50+B52+B53+B54+B55+B56+B57+B58+B59+B65+B66+B67+B68+B69+B70+B71+B72+B60+B73+B74+B61+B62+B75</f>
        <v>76598.500803455725</v>
      </c>
      <c r="C78" t="s">
        <v>47</v>
      </c>
    </row>
  </sheetData>
  <sheetProtection algorithmName="SHA-512" hashValue="mlpMFdRBRR0ccid3R841UKcN+mG1jP49dd/0S+VIL1L7I9Bx8On+d3R1xIESZmhaggzJFu7GbKNR7GC3gHpmcg==" saltValue="HTGBWKmY4jocc+HVWO8Dzw==" spinCount="100000" sheet="1" objects="1" scenarios="1"/>
  <mergeCells count="1">
    <mergeCell ref="A1:E1"/>
  </mergeCells>
  <hyperlinks>
    <hyperlink ref="C27" r:id="rId1" xr:uid="{EEEACC75-DC70-4D56-8FC0-385F3347A787}"/>
  </hyperlinks>
  <pageMargins left="0.7" right="0.7" top="0.75" bottom="0.75" header="0.3" footer="0.3"/>
  <pageSetup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DAF45-96D2-4B63-BCCC-0CB318482D18}">
  <dimension ref="A1:I65"/>
  <sheetViews>
    <sheetView workbookViewId="0">
      <selection activeCell="I21" sqref="I21"/>
    </sheetView>
  </sheetViews>
  <sheetFormatPr baseColWidth="10" defaultRowHeight="14.4" x14ac:dyDescent="0.3"/>
  <cols>
    <col min="1" max="1" width="31.5546875" bestFit="1" customWidth="1"/>
    <col min="2" max="2" width="8.77734375" bestFit="1" customWidth="1"/>
    <col min="3" max="3" width="15.21875" bestFit="1" customWidth="1"/>
    <col min="4" max="4" width="7" bestFit="1" customWidth="1"/>
    <col min="5" max="5" width="16.6640625" bestFit="1" customWidth="1"/>
    <col min="6" max="6" width="6.88671875" bestFit="1" customWidth="1"/>
    <col min="7" max="7" width="13.33203125" bestFit="1" customWidth="1"/>
    <col min="8" max="8" width="20.77734375" bestFit="1" customWidth="1"/>
    <col min="9" max="9" width="30.109375" bestFit="1" customWidth="1"/>
  </cols>
  <sheetData>
    <row r="1" spans="1:9" ht="18" x14ac:dyDescent="0.35">
      <c r="A1" s="42" t="s">
        <v>186</v>
      </c>
      <c r="B1" s="42"/>
      <c r="C1" s="42"/>
      <c r="D1" s="42"/>
      <c r="E1" s="42"/>
    </row>
    <row r="2" spans="1:9" ht="18" x14ac:dyDescent="0.35">
      <c r="A2" s="1" t="s">
        <v>0</v>
      </c>
    </row>
    <row r="3" spans="1:9" x14ac:dyDescent="0.3">
      <c r="A3" s="2" t="s">
        <v>1</v>
      </c>
    </row>
    <row r="4" spans="1:9" x14ac:dyDescent="0.3">
      <c r="A4" t="s">
        <v>2</v>
      </c>
      <c r="B4" s="34">
        <v>35</v>
      </c>
    </row>
    <row r="5" spans="1:9" x14ac:dyDescent="0.3">
      <c r="A5" t="s">
        <v>3</v>
      </c>
      <c r="B5" s="34">
        <v>0</v>
      </c>
    </row>
    <row r="6" spans="1:9" x14ac:dyDescent="0.3">
      <c r="B6" s="37"/>
    </row>
    <row r="7" spans="1:9" x14ac:dyDescent="0.3">
      <c r="A7" s="2" t="s">
        <v>6</v>
      </c>
      <c r="B7" s="37"/>
    </row>
    <row r="8" spans="1:9" x14ac:dyDescent="0.3">
      <c r="A8" t="s">
        <v>185</v>
      </c>
      <c r="B8" s="34">
        <v>1000</v>
      </c>
      <c r="C8" t="s">
        <v>16</v>
      </c>
    </row>
    <row r="9" spans="1:9" x14ac:dyDescent="0.3">
      <c r="A9" t="s">
        <v>9</v>
      </c>
      <c r="B9" s="34">
        <v>1</v>
      </c>
      <c r="C9" t="s">
        <v>10</v>
      </c>
    </row>
    <row r="10" spans="1:9" x14ac:dyDescent="0.3">
      <c r="A10" t="s">
        <v>11</v>
      </c>
      <c r="B10" s="34">
        <v>9</v>
      </c>
      <c r="C10" t="s">
        <v>12</v>
      </c>
      <c r="D10" s="7">
        <f>+B10*B36</f>
        <v>7.2</v>
      </c>
      <c r="E10" t="s">
        <v>13</v>
      </c>
    </row>
    <row r="11" spans="1:9" x14ac:dyDescent="0.3">
      <c r="B11" s="3"/>
      <c r="D11" s="7"/>
    </row>
    <row r="12" spans="1:9" x14ac:dyDescent="0.3">
      <c r="D12" s="44" t="s">
        <v>54</v>
      </c>
      <c r="E12" s="44"/>
      <c r="F12" s="44"/>
      <c r="G12" s="44"/>
    </row>
    <row r="13" spans="1:9" x14ac:dyDescent="0.3">
      <c r="A13" s="2" t="s">
        <v>190</v>
      </c>
      <c r="B13" t="s">
        <v>203</v>
      </c>
      <c r="D13" s="43" t="s">
        <v>14</v>
      </c>
      <c r="E13" s="43"/>
      <c r="F13" s="43" t="s">
        <v>53</v>
      </c>
      <c r="G13" s="43"/>
    </row>
    <row r="14" spans="1:9" x14ac:dyDescent="0.3">
      <c r="A14" t="s">
        <v>15</v>
      </c>
      <c r="B14" s="34">
        <v>175</v>
      </c>
      <c r="C14" t="s">
        <v>16</v>
      </c>
      <c r="D14" s="28">
        <v>0.314</v>
      </c>
      <c r="E14" s="28" t="s">
        <v>17</v>
      </c>
      <c r="F14" s="29">
        <f t="shared" ref="F14:F20" si="0">+$B14*$D14*2</f>
        <v>109.9</v>
      </c>
      <c r="G14" s="28" t="s">
        <v>52</v>
      </c>
      <c r="H14" s="8"/>
      <c r="I14" s="8"/>
    </row>
    <row r="15" spans="1:9" x14ac:dyDescent="0.3">
      <c r="A15" t="s">
        <v>18</v>
      </c>
      <c r="B15" s="34">
        <v>0</v>
      </c>
      <c r="C15" t="s">
        <v>16</v>
      </c>
      <c r="D15" s="28">
        <v>0.25800000000000001</v>
      </c>
      <c r="E15" s="28" t="s">
        <v>17</v>
      </c>
      <c r="F15" s="29">
        <f t="shared" si="0"/>
        <v>0</v>
      </c>
      <c r="G15" s="28" t="s">
        <v>52</v>
      </c>
      <c r="H15" s="8"/>
      <c r="I15" s="8"/>
    </row>
    <row r="16" spans="1:9" x14ac:dyDescent="0.3">
      <c r="A16" t="s">
        <v>19</v>
      </c>
      <c r="B16" s="34">
        <v>0</v>
      </c>
      <c r="C16" t="s">
        <v>16</v>
      </c>
      <c r="D16" s="28">
        <v>0.23699999999999999</v>
      </c>
      <c r="E16" s="28" t="s">
        <v>17</v>
      </c>
      <c r="F16" s="29">
        <f t="shared" si="0"/>
        <v>0</v>
      </c>
      <c r="G16" s="28" t="s">
        <v>52</v>
      </c>
      <c r="H16" s="8"/>
      <c r="I16" s="8"/>
    </row>
    <row r="17" spans="1:9" x14ac:dyDescent="0.3">
      <c r="A17" t="s">
        <v>20</v>
      </c>
      <c r="B17" s="34">
        <v>0</v>
      </c>
      <c r="C17" t="s">
        <v>16</v>
      </c>
      <c r="D17" s="28">
        <v>0.23</v>
      </c>
      <c r="E17" s="28" t="s">
        <v>17</v>
      </c>
      <c r="F17" s="29">
        <f t="shared" si="0"/>
        <v>0</v>
      </c>
      <c r="G17" s="28" t="s">
        <v>52</v>
      </c>
      <c r="H17" s="8"/>
      <c r="I17" s="8"/>
    </row>
    <row r="18" spans="1:9" x14ac:dyDescent="0.3">
      <c r="A18" t="s">
        <v>21</v>
      </c>
      <c r="B18" s="34">
        <v>0</v>
      </c>
      <c r="C18" t="s">
        <v>16</v>
      </c>
      <c r="D18" s="28">
        <v>0.307</v>
      </c>
      <c r="E18" s="28" t="s">
        <v>17</v>
      </c>
      <c r="F18" s="29">
        <f t="shared" si="0"/>
        <v>0</v>
      </c>
      <c r="G18" s="28" t="s">
        <v>52</v>
      </c>
      <c r="H18" s="8"/>
      <c r="I18" s="8"/>
    </row>
    <row r="19" spans="1:9" x14ac:dyDescent="0.3">
      <c r="A19" t="s">
        <v>22</v>
      </c>
      <c r="B19" s="34">
        <v>0</v>
      </c>
      <c r="C19" t="s">
        <v>16</v>
      </c>
      <c r="D19" s="28">
        <v>0.23</v>
      </c>
      <c r="E19" s="28" t="s">
        <v>17</v>
      </c>
      <c r="F19" s="29">
        <f t="shared" si="0"/>
        <v>0</v>
      </c>
      <c r="G19" s="28" t="s">
        <v>52</v>
      </c>
      <c r="H19" s="8"/>
      <c r="I19" s="8"/>
    </row>
    <row r="20" spans="1:9" x14ac:dyDescent="0.3">
      <c r="A20" t="s">
        <v>23</v>
      </c>
      <c r="B20" s="34">
        <v>7800</v>
      </c>
      <c r="C20" t="s">
        <v>16</v>
      </c>
      <c r="D20" s="28">
        <v>0.223</v>
      </c>
      <c r="E20" s="28" t="s">
        <v>17</v>
      </c>
      <c r="F20" s="29">
        <f t="shared" si="0"/>
        <v>3478.8</v>
      </c>
      <c r="G20" s="28" t="s">
        <v>52</v>
      </c>
      <c r="H20" s="8"/>
      <c r="I20" s="8"/>
    </row>
    <row r="21" spans="1:9" x14ac:dyDescent="0.3">
      <c r="F21" s="7"/>
    </row>
    <row r="22" spans="1:9" x14ac:dyDescent="0.3">
      <c r="A22" s="2" t="s">
        <v>189</v>
      </c>
      <c r="C22" s="8" t="s">
        <v>55</v>
      </c>
    </row>
    <row r="23" spans="1:9" x14ac:dyDescent="0.3">
      <c r="A23" t="s">
        <v>24</v>
      </c>
      <c r="B23" s="34">
        <v>0.6</v>
      </c>
      <c r="C23" t="s">
        <v>25</v>
      </c>
    </row>
    <row r="24" spans="1:9" x14ac:dyDescent="0.3">
      <c r="A24" t="s">
        <v>26</v>
      </c>
      <c r="B24" s="34">
        <v>40</v>
      </c>
      <c r="C24" t="s">
        <v>27</v>
      </c>
      <c r="I24" s="8"/>
    </row>
    <row r="25" spans="1:9" x14ac:dyDescent="0.3">
      <c r="A25" t="s">
        <v>28</v>
      </c>
      <c r="B25" s="34">
        <v>12</v>
      </c>
    </row>
    <row r="26" spans="1:9" x14ac:dyDescent="0.3">
      <c r="B26" s="34"/>
    </row>
    <row r="27" spans="1:9" x14ac:dyDescent="0.3">
      <c r="A27" s="2" t="s">
        <v>108</v>
      </c>
      <c r="B27" s="34"/>
    </row>
    <row r="28" spans="1:9" x14ac:dyDescent="0.3">
      <c r="A28" t="s">
        <v>110</v>
      </c>
      <c r="B28" s="34">
        <v>300</v>
      </c>
      <c r="C28" t="s">
        <v>111</v>
      </c>
    </row>
    <row r="29" spans="1:9" x14ac:dyDescent="0.3">
      <c r="A29" t="s">
        <v>115</v>
      </c>
      <c r="B29" s="34">
        <v>20</v>
      </c>
    </row>
    <row r="30" spans="1:9" x14ac:dyDescent="0.3">
      <c r="A30" t="s">
        <v>112</v>
      </c>
      <c r="B30" s="34">
        <v>12</v>
      </c>
      <c r="C30" t="s">
        <v>113</v>
      </c>
      <c r="D30" s="7">
        <f>+B30*1.852</f>
        <v>22.224</v>
      </c>
      <c r="E30" t="s">
        <v>117</v>
      </c>
    </row>
    <row r="31" spans="1:9" x14ac:dyDescent="0.3">
      <c r="A31" t="s">
        <v>114</v>
      </c>
      <c r="B31" s="34">
        <v>0</v>
      </c>
      <c r="C31" t="s">
        <v>36</v>
      </c>
    </row>
    <row r="33" spans="1:3" ht="18" x14ac:dyDescent="0.35">
      <c r="A33" s="1" t="s">
        <v>29</v>
      </c>
    </row>
    <row r="34" spans="1:3" x14ac:dyDescent="0.3">
      <c r="A34" s="2" t="s">
        <v>30</v>
      </c>
    </row>
    <row r="35" spans="1:3" x14ac:dyDescent="0.3">
      <c r="A35" t="s">
        <v>31</v>
      </c>
      <c r="B35" s="33">
        <v>0.82</v>
      </c>
      <c r="C35" t="s">
        <v>32</v>
      </c>
    </row>
    <row r="36" spans="1:3" x14ac:dyDescent="0.3">
      <c r="A36" t="s">
        <v>33</v>
      </c>
      <c r="B36" s="33">
        <v>0.8</v>
      </c>
      <c r="C36" t="s">
        <v>32</v>
      </c>
    </row>
    <row r="37" spans="1:3" x14ac:dyDescent="0.3">
      <c r="A37" t="s">
        <v>34</v>
      </c>
      <c r="B37" s="33">
        <v>3.16</v>
      </c>
      <c r="C37" t="s">
        <v>35</v>
      </c>
    </row>
    <row r="38" spans="1:3" x14ac:dyDescent="0.3">
      <c r="A38" t="s">
        <v>38</v>
      </c>
      <c r="B38" s="34">
        <v>1</v>
      </c>
      <c r="C38" t="s">
        <v>39</v>
      </c>
    </row>
    <row r="39" spans="1:3" x14ac:dyDescent="0.3">
      <c r="A39" t="s">
        <v>109</v>
      </c>
      <c r="B39" s="34">
        <v>0.2</v>
      </c>
      <c r="C39" t="s">
        <v>116</v>
      </c>
    </row>
    <row r="41" spans="1:3" ht="18" x14ac:dyDescent="0.35">
      <c r="A41" s="4" t="s">
        <v>40</v>
      </c>
    </row>
    <row r="42" spans="1:3" x14ac:dyDescent="0.3">
      <c r="A42" s="2" t="s">
        <v>41</v>
      </c>
      <c r="B42" s="18">
        <f>+B4*B38</f>
        <v>35</v>
      </c>
      <c r="C42" t="s">
        <v>42</v>
      </c>
    </row>
    <row r="43" spans="1:3" x14ac:dyDescent="0.3">
      <c r="A43" s="2" t="s">
        <v>43</v>
      </c>
      <c r="B43" s="18">
        <f>+B23*B24*B5*B35*B37/B25</f>
        <v>0</v>
      </c>
      <c r="C43" t="s">
        <v>42</v>
      </c>
    </row>
    <row r="44" spans="1:3" x14ac:dyDescent="0.3">
      <c r="A44" s="2" t="s">
        <v>44</v>
      </c>
      <c r="B44" s="18">
        <f>+B8*B10*B35*B37/(B9*100)</f>
        <v>233.208</v>
      </c>
      <c r="C44" t="s">
        <v>42</v>
      </c>
    </row>
    <row r="45" spans="1:3" x14ac:dyDescent="0.3">
      <c r="A45" s="2" t="s">
        <v>45</v>
      </c>
      <c r="B45" s="18">
        <f>+F14+F15+F16+F17+F18+F19+F20</f>
        <v>3588.7000000000003</v>
      </c>
      <c r="C45" t="s">
        <v>47</v>
      </c>
    </row>
    <row r="46" spans="1:3" x14ac:dyDescent="0.3">
      <c r="A46" s="2" t="s">
        <v>118</v>
      </c>
      <c r="B46" s="18">
        <f>+(B31/D30)*B28*B39*B35*B37/B29</f>
        <v>0</v>
      </c>
      <c r="C46" t="s">
        <v>42</v>
      </c>
    </row>
    <row r="47" spans="1:3" ht="15.6" x14ac:dyDescent="0.3">
      <c r="A47" s="30" t="s">
        <v>187</v>
      </c>
      <c r="B47" s="31">
        <f>SUM(B42:B46)</f>
        <v>3856.9080000000004</v>
      </c>
      <c r="C47" t="s">
        <v>47</v>
      </c>
    </row>
    <row r="51" spans="1:2" ht="18" x14ac:dyDescent="0.35">
      <c r="A51" s="32" t="s">
        <v>188</v>
      </c>
      <c r="B51" t="s">
        <v>47</v>
      </c>
    </row>
    <row r="52" spans="1:2" x14ac:dyDescent="0.3">
      <c r="A52" s="37" t="s">
        <v>200</v>
      </c>
      <c r="B52" s="39">
        <v>0</v>
      </c>
    </row>
    <row r="53" spans="1:2" x14ac:dyDescent="0.3">
      <c r="A53" s="37" t="s">
        <v>201</v>
      </c>
      <c r="B53" s="39">
        <v>1705</v>
      </c>
    </row>
    <row r="54" spans="1:2" x14ac:dyDescent="0.3">
      <c r="A54" s="37" t="s">
        <v>205</v>
      </c>
      <c r="B54" s="39">
        <v>3857</v>
      </c>
    </row>
    <row r="55" spans="1:2" x14ac:dyDescent="0.3">
      <c r="A55" s="37" t="s">
        <v>191</v>
      </c>
      <c r="B55" s="39">
        <v>0</v>
      </c>
    </row>
    <row r="56" spans="1:2" x14ac:dyDescent="0.3">
      <c r="A56" s="37" t="s">
        <v>192</v>
      </c>
      <c r="B56" s="39">
        <v>0</v>
      </c>
    </row>
    <row r="57" spans="1:2" x14ac:dyDescent="0.3">
      <c r="A57" s="37" t="s">
        <v>193</v>
      </c>
      <c r="B57" s="39">
        <v>0</v>
      </c>
    </row>
    <row r="58" spans="1:2" x14ac:dyDescent="0.3">
      <c r="A58" s="37" t="s">
        <v>194</v>
      </c>
      <c r="B58" s="39">
        <v>0</v>
      </c>
    </row>
    <row r="59" spans="1:2" x14ac:dyDescent="0.3">
      <c r="A59" s="37" t="s">
        <v>195</v>
      </c>
      <c r="B59" s="39">
        <v>0</v>
      </c>
    </row>
    <row r="60" spans="1:2" x14ac:dyDescent="0.3">
      <c r="A60" s="37" t="s">
        <v>196</v>
      </c>
      <c r="B60" s="39">
        <v>0</v>
      </c>
    </row>
    <row r="61" spans="1:2" x14ac:dyDescent="0.3">
      <c r="A61" s="37" t="s">
        <v>197</v>
      </c>
      <c r="B61" s="39">
        <v>0</v>
      </c>
    </row>
    <row r="62" spans="1:2" x14ac:dyDescent="0.3">
      <c r="A62" s="37" t="s">
        <v>198</v>
      </c>
      <c r="B62" s="39">
        <v>0</v>
      </c>
    </row>
    <row r="63" spans="1:2" ht="15" thickBot="1" x14ac:dyDescent="0.35">
      <c r="A63" s="37" t="s">
        <v>199</v>
      </c>
      <c r="B63" s="39">
        <v>0</v>
      </c>
    </row>
    <row r="64" spans="1:2" ht="19.2" thickTop="1" thickBot="1" x14ac:dyDescent="0.4">
      <c r="A64" s="40" t="s">
        <v>206</v>
      </c>
      <c r="B64" s="41">
        <f>SUM(B52:B63)</f>
        <v>5562</v>
      </c>
    </row>
    <row r="65" ht="15" thickTop="1" x14ac:dyDescent="0.3"/>
  </sheetData>
  <sheetProtection algorithmName="SHA-512" hashValue="GiZjRCJFcM1UAh6amXPGGlaFN/UY/xi+0kvRXFmCIN1qZO9ojwG2r+9FGl0NzGMfougAmAa64hsVlfeo44ffdA==" saltValue="Wc4DD7gdAwDCRkIvtTFUGA==" spinCount="100000" sheet="1" objects="1" scenarios="1"/>
  <mergeCells count="4">
    <mergeCell ref="A1:E1"/>
    <mergeCell ref="D13:E13"/>
    <mergeCell ref="F13:G13"/>
    <mergeCell ref="D12:G12"/>
  </mergeCells>
  <hyperlinks>
    <hyperlink ref="C22" r:id="rId1" xr:uid="{C40E6EB1-1BDF-4217-A1D8-182F036E5788}"/>
    <hyperlink ref="D12:G12" r:id="rId2" location="cite_note-BaseCarbone-2" display="Source ADME-Wikipedia" xr:uid="{AC7AE202-8F90-466E-AE4A-0E41A27D1313}"/>
  </hyperlinks>
  <pageMargins left="0.7" right="0.7" top="0.75" bottom="0.75" header="0.3" footer="0.3"/>
  <pageSetup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DBD1D-E432-406E-AE8C-5E4ECBCAB344}">
  <dimension ref="A1:J86"/>
  <sheetViews>
    <sheetView topLeftCell="A10" zoomScale="99" zoomScaleNormal="99" workbookViewId="0">
      <selection activeCell="G93" sqref="G93"/>
    </sheetView>
  </sheetViews>
  <sheetFormatPr baseColWidth="10" defaultRowHeight="14.4" x14ac:dyDescent="0.3"/>
  <cols>
    <col min="1" max="1" width="40" bestFit="1" customWidth="1"/>
    <col min="2" max="2" width="8.88671875" bestFit="1" customWidth="1"/>
    <col min="3" max="3" width="9.33203125" bestFit="1" customWidth="1"/>
    <col min="4" max="4" width="22" customWidth="1"/>
    <col min="5" max="5" width="4" bestFit="1" customWidth="1"/>
    <col min="6" max="6" width="14.33203125" customWidth="1"/>
    <col min="7" max="7" width="12.6640625" bestFit="1" customWidth="1"/>
    <col min="9" max="9" width="21" bestFit="1" customWidth="1"/>
    <col min="10" max="10" width="9.33203125" bestFit="1" customWidth="1"/>
  </cols>
  <sheetData>
    <row r="1" spans="1:10" ht="18" x14ac:dyDescent="0.35">
      <c r="A1" s="42" t="s">
        <v>107</v>
      </c>
      <c r="B1" s="42"/>
    </row>
    <row r="2" spans="1:10" ht="18" x14ac:dyDescent="0.35">
      <c r="A2" s="20"/>
      <c r="B2" s="13" t="s">
        <v>204</v>
      </c>
      <c r="C2" s="13" t="s">
        <v>163</v>
      </c>
    </row>
    <row r="3" spans="1:10" x14ac:dyDescent="0.3">
      <c r="A3" s="2" t="s">
        <v>77</v>
      </c>
      <c r="B3" s="13"/>
      <c r="C3" s="19">
        <f>AVERAGE(C4:C11)</f>
        <v>374.42249999999996</v>
      </c>
      <c r="D3" t="s">
        <v>175</v>
      </c>
      <c r="G3" t="s">
        <v>161</v>
      </c>
      <c r="H3" t="s">
        <v>162</v>
      </c>
      <c r="I3" s="8" t="s">
        <v>54</v>
      </c>
    </row>
    <row r="4" spans="1:10" x14ac:dyDescent="0.3">
      <c r="A4" t="s">
        <v>57</v>
      </c>
      <c r="B4" s="13">
        <v>175</v>
      </c>
      <c r="C4" s="19">
        <f>+$B4*$H$4*2</f>
        <v>109.9</v>
      </c>
      <c r="D4" s="45" t="s">
        <v>180</v>
      </c>
      <c r="E4" s="46">
        <f>AVERAGE(C4:C6)</f>
        <v>160.14000000000001</v>
      </c>
      <c r="G4" t="s">
        <v>15</v>
      </c>
      <c r="H4" s="34">
        <v>0.314</v>
      </c>
      <c r="I4" t="s">
        <v>17</v>
      </c>
      <c r="J4" s="8"/>
    </row>
    <row r="5" spans="1:10" x14ac:dyDescent="0.3">
      <c r="A5" t="s">
        <v>56</v>
      </c>
      <c r="B5" s="13">
        <v>270</v>
      </c>
      <c r="C5" s="19">
        <f>+$B5*$H$4*2</f>
        <v>169.56</v>
      </c>
      <c r="D5" s="45"/>
      <c r="E5" s="47"/>
      <c r="G5" t="s">
        <v>18</v>
      </c>
      <c r="H5" s="34">
        <v>0.25800000000000001</v>
      </c>
      <c r="I5" t="s">
        <v>17</v>
      </c>
    </row>
    <row r="6" spans="1:10" x14ac:dyDescent="0.3">
      <c r="A6" t="s">
        <v>58</v>
      </c>
      <c r="B6" s="13">
        <v>320</v>
      </c>
      <c r="C6" s="19">
        <f>+$B6*$H$4*2</f>
        <v>200.96</v>
      </c>
      <c r="D6" s="45"/>
      <c r="E6" s="47"/>
      <c r="G6" t="s">
        <v>19</v>
      </c>
      <c r="H6" s="34">
        <v>0.23699999999999999</v>
      </c>
      <c r="I6" t="s">
        <v>17</v>
      </c>
    </row>
    <row r="7" spans="1:10" x14ac:dyDescent="0.3">
      <c r="A7" t="s">
        <v>59</v>
      </c>
      <c r="B7" s="13">
        <v>320</v>
      </c>
      <c r="C7" s="19">
        <f>+$B7*$H$4*2</f>
        <v>200.96</v>
      </c>
      <c r="G7" t="s">
        <v>20</v>
      </c>
      <c r="H7" s="34">
        <v>0.23</v>
      </c>
      <c r="I7" t="s">
        <v>17</v>
      </c>
    </row>
    <row r="8" spans="1:10" x14ac:dyDescent="0.3">
      <c r="A8" t="s">
        <v>60</v>
      </c>
      <c r="B8" s="13">
        <v>1100</v>
      </c>
      <c r="C8" s="19">
        <f>+$H$5*$B8*2</f>
        <v>567.6</v>
      </c>
      <c r="G8" t="s">
        <v>21</v>
      </c>
      <c r="H8" s="34">
        <v>0.307</v>
      </c>
      <c r="I8" t="s">
        <v>17</v>
      </c>
    </row>
    <row r="9" spans="1:10" x14ac:dyDescent="0.3">
      <c r="A9" t="s">
        <v>61</v>
      </c>
      <c r="B9" s="13">
        <v>1000</v>
      </c>
      <c r="C9" s="19">
        <f>+$H$5*$B9*2</f>
        <v>516</v>
      </c>
      <c r="G9" t="s">
        <v>22</v>
      </c>
      <c r="H9" s="34">
        <v>0.23</v>
      </c>
      <c r="I9" t="s">
        <v>17</v>
      </c>
    </row>
    <row r="10" spans="1:10" x14ac:dyDescent="0.3">
      <c r="A10" t="s">
        <v>62</v>
      </c>
      <c r="B10" s="13">
        <v>850</v>
      </c>
      <c r="C10" s="19">
        <f>+$B10*$H$4*2</f>
        <v>533.79999999999995</v>
      </c>
      <c r="G10" t="s">
        <v>23</v>
      </c>
      <c r="H10" s="34">
        <v>0.223</v>
      </c>
      <c r="I10" t="s">
        <v>17</v>
      </c>
    </row>
    <row r="11" spans="1:10" x14ac:dyDescent="0.3">
      <c r="A11" t="s">
        <v>166</v>
      </c>
      <c r="B11" s="13">
        <v>1350</v>
      </c>
      <c r="C11" s="19">
        <f>+B11*H5*2</f>
        <v>696.6</v>
      </c>
    </row>
    <row r="12" spans="1:10" ht="15" thickBot="1" x14ac:dyDescent="0.35">
      <c r="B12" s="13"/>
      <c r="C12" s="19"/>
    </row>
    <row r="13" spans="1:10" ht="15" thickBot="1" x14ac:dyDescent="0.35">
      <c r="A13" s="2" t="s">
        <v>78</v>
      </c>
      <c r="B13" s="13"/>
      <c r="C13" s="19">
        <f>AVERAGE(C14:C19)</f>
        <v>3296.6833333333338</v>
      </c>
      <c r="D13" t="s">
        <v>175</v>
      </c>
      <c r="I13" s="22" t="s">
        <v>179</v>
      </c>
      <c r="J13" s="23" t="s">
        <v>163</v>
      </c>
    </row>
    <row r="14" spans="1:10" ht="15" thickBot="1" x14ac:dyDescent="0.35">
      <c r="A14" t="s">
        <v>71</v>
      </c>
      <c r="B14" s="13">
        <v>7700</v>
      </c>
      <c r="C14" s="19">
        <f t="shared" ref="C14:C19" si="0">+$B14*$H$10*2</f>
        <v>3434.2000000000003</v>
      </c>
      <c r="I14" s="24" t="s">
        <v>46</v>
      </c>
      <c r="J14" s="25">
        <f>+C70+C77</f>
        <v>1755.19</v>
      </c>
    </row>
    <row r="15" spans="1:10" ht="15" thickBot="1" x14ac:dyDescent="0.35">
      <c r="A15" t="s">
        <v>72</v>
      </c>
      <c r="B15" s="13">
        <v>8950</v>
      </c>
      <c r="C15" s="19">
        <f t="shared" si="0"/>
        <v>3991.7000000000003</v>
      </c>
      <c r="I15" s="24" t="s">
        <v>48</v>
      </c>
      <c r="J15" s="25">
        <f>+E4+C27+C58</f>
        <v>3527.5433333333331</v>
      </c>
    </row>
    <row r="16" spans="1:10" ht="15" thickBot="1" x14ac:dyDescent="0.35">
      <c r="A16" t="s">
        <v>73</v>
      </c>
      <c r="B16" s="13">
        <v>5900</v>
      </c>
      <c r="C16" s="19">
        <f t="shared" si="0"/>
        <v>2631.4</v>
      </c>
      <c r="I16" s="24" t="s">
        <v>49</v>
      </c>
      <c r="J16" s="25">
        <f>+E4+C34+C41</f>
        <v>6766.3630769230776</v>
      </c>
    </row>
    <row r="17" spans="1:10" ht="15" thickBot="1" x14ac:dyDescent="0.35">
      <c r="A17" t="s">
        <v>74</v>
      </c>
      <c r="B17" s="13">
        <v>8800</v>
      </c>
      <c r="C17" s="19">
        <f t="shared" si="0"/>
        <v>3924.8</v>
      </c>
      <c r="I17" s="24" t="s">
        <v>167</v>
      </c>
      <c r="J17" s="25">
        <f>+C11+C24</f>
        <v>4398.4000000000005</v>
      </c>
    </row>
    <row r="18" spans="1:10" ht="15" thickBot="1" x14ac:dyDescent="0.35">
      <c r="A18" t="s">
        <v>75</v>
      </c>
      <c r="B18" s="13">
        <v>5600</v>
      </c>
      <c r="C18" s="19">
        <f t="shared" si="0"/>
        <v>2497.6</v>
      </c>
      <c r="I18" s="24" t="s">
        <v>125</v>
      </c>
      <c r="J18" s="25">
        <f>+C22+C4+C67</f>
        <v>5140.9999999999991</v>
      </c>
    </row>
    <row r="19" spans="1:10" ht="15" thickBot="1" x14ac:dyDescent="0.35">
      <c r="A19" t="s">
        <v>76</v>
      </c>
      <c r="B19" s="13">
        <v>7400</v>
      </c>
      <c r="C19" s="19">
        <f t="shared" si="0"/>
        <v>3300.4</v>
      </c>
      <c r="I19" s="26" t="s">
        <v>123</v>
      </c>
      <c r="J19" s="27">
        <f>+C4+C35+C46+C47</f>
        <v>6541.2999999999993</v>
      </c>
    </row>
    <row r="20" spans="1:10" ht="15" thickBot="1" x14ac:dyDescent="0.35">
      <c r="B20" s="13"/>
      <c r="C20" s="19"/>
      <c r="I20" s="26" t="s">
        <v>124</v>
      </c>
      <c r="J20" s="27">
        <f>+C4+C15+C38+C43</f>
        <v>8259.6</v>
      </c>
    </row>
    <row r="21" spans="1:10" ht="15" thickBot="1" x14ac:dyDescent="0.35">
      <c r="A21" s="2" t="s">
        <v>156</v>
      </c>
      <c r="B21" s="13"/>
      <c r="C21" s="19">
        <f>AVERAGE(C23:C25)</f>
        <v>3880.2000000000003</v>
      </c>
      <c r="D21" t="s">
        <v>175</v>
      </c>
      <c r="I21" s="26" t="s">
        <v>208</v>
      </c>
      <c r="J21" s="27">
        <f>+C82+C83</f>
        <v>4535.8</v>
      </c>
    </row>
    <row r="22" spans="1:10" ht="15" thickBot="1" x14ac:dyDescent="0.35">
      <c r="A22" t="s">
        <v>157</v>
      </c>
      <c r="B22" s="13">
        <v>9950</v>
      </c>
      <c r="C22" s="19">
        <f>+$B22*$H$10*2</f>
        <v>4437.7</v>
      </c>
      <c r="I22" s="26" t="s">
        <v>214</v>
      </c>
      <c r="J22" s="27">
        <f>+C4+C35+C46+C49</f>
        <v>7451.2999999999993</v>
      </c>
    </row>
    <row r="23" spans="1:10" ht="15" thickBot="1" x14ac:dyDescent="0.35">
      <c r="A23" t="s">
        <v>158</v>
      </c>
      <c r="B23" s="13">
        <v>9100</v>
      </c>
      <c r="C23" s="19">
        <f>+$B23*$H$10*2</f>
        <v>4058.6</v>
      </c>
      <c r="I23" s="26" t="s">
        <v>221</v>
      </c>
      <c r="J23" s="27">
        <f>+C85+B86+C4</f>
        <v>7960.92</v>
      </c>
    </row>
    <row r="24" spans="1:10" ht="15" thickBot="1" x14ac:dyDescent="0.35">
      <c r="A24" t="s">
        <v>165</v>
      </c>
      <c r="B24" s="13">
        <v>8300</v>
      </c>
      <c r="C24" s="19">
        <f>+B24*H10*2</f>
        <v>3701.8</v>
      </c>
      <c r="I24" s="26" t="s">
        <v>223</v>
      </c>
      <c r="J24" s="25">
        <f>+C5+C25+C68</f>
        <v>4552.16</v>
      </c>
    </row>
    <row r="25" spans="1:10" x14ac:dyDescent="0.3">
      <c r="A25" t="s">
        <v>226</v>
      </c>
      <c r="B25" s="13">
        <v>8700</v>
      </c>
      <c r="C25" s="19">
        <f>+B25*H10*2</f>
        <v>3880.2000000000003</v>
      </c>
    </row>
    <row r="26" spans="1:10" x14ac:dyDescent="0.3">
      <c r="B26" s="13"/>
      <c r="C26" s="19"/>
    </row>
    <row r="27" spans="1:10" x14ac:dyDescent="0.3">
      <c r="A27" s="2" t="s">
        <v>79</v>
      </c>
      <c r="B27" s="13"/>
      <c r="C27" s="19">
        <f>AVERAGE(C28:C32)</f>
        <v>3206.74</v>
      </c>
      <c r="D27" t="s">
        <v>175</v>
      </c>
    </row>
    <row r="28" spans="1:10" x14ac:dyDescent="0.3">
      <c r="A28" t="s">
        <v>69</v>
      </c>
      <c r="B28" s="13">
        <v>7600</v>
      </c>
      <c r="C28" s="19">
        <f>+$B28*$H$10*2</f>
        <v>3389.6</v>
      </c>
    </row>
    <row r="29" spans="1:10" x14ac:dyDescent="0.3">
      <c r="A29" t="s">
        <v>63</v>
      </c>
      <c r="B29" s="13">
        <v>7800</v>
      </c>
      <c r="C29" s="19">
        <f>+$B29*$H$10*2</f>
        <v>3478.8</v>
      </c>
    </row>
    <row r="30" spans="1:10" x14ac:dyDescent="0.3">
      <c r="A30" t="s">
        <v>99</v>
      </c>
      <c r="B30" s="13">
        <v>6900</v>
      </c>
      <c r="C30" s="19">
        <f>+$B30*$H$10*2</f>
        <v>3077.4</v>
      </c>
    </row>
    <row r="31" spans="1:10" x14ac:dyDescent="0.3">
      <c r="A31" t="s">
        <v>105</v>
      </c>
      <c r="B31" s="13">
        <v>6800</v>
      </c>
      <c r="C31" s="19">
        <f>+$B31*$H$10*2</f>
        <v>3032.8</v>
      </c>
    </row>
    <row r="32" spans="1:10" x14ac:dyDescent="0.3">
      <c r="A32" t="s">
        <v>106</v>
      </c>
      <c r="B32" s="13">
        <v>6850</v>
      </c>
      <c r="C32" s="19">
        <f>+$B32*$H$10*2</f>
        <v>3055.1</v>
      </c>
    </row>
    <row r="33" spans="1:4" x14ac:dyDescent="0.3">
      <c r="B33" s="13"/>
      <c r="C33" s="19"/>
    </row>
    <row r="34" spans="1:4" x14ac:dyDescent="0.3">
      <c r="A34" s="2" t="s">
        <v>80</v>
      </c>
      <c r="B34" s="13"/>
      <c r="C34" s="19">
        <f>AVERAGE(C35:C36)</f>
        <v>5954.1</v>
      </c>
      <c r="D34" t="s">
        <v>175</v>
      </c>
    </row>
    <row r="35" spans="1:4" x14ac:dyDescent="0.3">
      <c r="A35" t="s">
        <v>65</v>
      </c>
      <c r="B35" s="13">
        <v>10500</v>
      </c>
      <c r="C35" s="19">
        <f>+$B35*$H$10*2</f>
        <v>4683</v>
      </c>
    </row>
    <row r="36" spans="1:4" x14ac:dyDescent="0.3">
      <c r="A36" t="s">
        <v>66</v>
      </c>
      <c r="B36" s="13">
        <v>16200</v>
      </c>
      <c r="C36" s="19">
        <f>+$B36*$H$10*2</f>
        <v>7225.2</v>
      </c>
    </row>
    <row r="37" spans="1:4" x14ac:dyDescent="0.3">
      <c r="A37" t="s">
        <v>81</v>
      </c>
      <c r="B37" s="13">
        <v>4400</v>
      </c>
      <c r="C37" s="19">
        <f>+$B37*$H$8*2</f>
        <v>2701.6</v>
      </c>
    </row>
    <row r="38" spans="1:4" x14ac:dyDescent="0.3">
      <c r="A38" t="s">
        <v>82</v>
      </c>
      <c r="B38" s="13">
        <v>4000</v>
      </c>
      <c r="C38" s="19">
        <f>+$B38*$H$8*2</f>
        <v>2456</v>
      </c>
    </row>
    <row r="39" spans="1:4" x14ac:dyDescent="0.3">
      <c r="A39" t="s">
        <v>95</v>
      </c>
      <c r="B39" s="13">
        <v>6650</v>
      </c>
      <c r="C39" s="19">
        <f>+$B39*$H$10*2</f>
        <v>2965.9</v>
      </c>
    </row>
    <row r="40" spans="1:4" x14ac:dyDescent="0.3">
      <c r="B40" s="13"/>
      <c r="C40" s="19"/>
    </row>
    <row r="41" spans="1:4" x14ac:dyDescent="0.3">
      <c r="A41" s="2" t="s">
        <v>83</v>
      </c>
      <c r="B41" s="13"/>
      <c r="C41" s="19">
        <f>AVERAGE(C44:C56)</f>
        <v>652.12307692307695</v>
      </c>
      <c r="D41" t="s">
        <v>175</v>
      </c>
    </row>
    <row r="42" spans="1:4" x14ac:dyDescent="0.3">
      <c r="A42" t="s">
        <v>84</v>
      </c>
      <c r="B42" s="13">
        <v>6150</v>
      </c>
      <c r="C42" s="19">
        <f>+$B42*$H$10*2</f>
        <v>2742.9</v>
      </c>
    </row>
    <row r="43" spans="1:4" x14ac:dyDescent="0.3">
      <c r="A43" t="s">
        <v>85</v>
      </c>
      <c r="B43" s="13">
        <v>3700</v>
      </c>
      <c r="C43" s="19">
        <f>+$B43*$H$7*2</f>
        <v>1702</v>
      </c>
    </row>
    <row r="44" spans="1:4" x14ac:dyDescent="0.3">
      <c r="A44" t="s">
        <v>94</v>
      </c>
      <c r="B44" s="13">
        <v>650</v>
      </c>
      <c r="C44" s="19">
        <f>+$B44*$H$4*2</f>
        <v>408.2</v>
      </c>
    </row>
    <row r="45" spans="1:4" x14ac:dyDescent="0.3">
      <c r="A45" t="s">
        <v>93</v>
      </c>
      <c r="B45" s="13">
        <v>300</v>
      </c>
      <c r="C45" s="19">
        <f>+$B45*$H$4*2</f>
        <v>188.4</v>
      </c>
    </row>
    <row r="46" spans="1:4" x14ac:dyDescent="0.3">
      <c r="A46" t="s">
        <v>67</v>
      </c>
      <c r="B46" s="13">
        <v>2600</v>
      </c>
      <c r="C46" s="19">
        <f>+$B46*$H$6*2</f>
        <v>1232.3999999999999</v>
      </c>
    </row>
    <row r="47" spans="1:4" x14ac:dyDescent="0.3">
      <c r="A47" t="s">
        <v>68</v>
      </c>
      <c r="B47" s="13">
        <v>1000</v>
      </c>
      <c r="C47" s="19">
        <f>+$H$5*$B47*2</f>
        <v>516</v>
      </c>
    </row>
    <row r="48" spans="1:4" x14ac:dyDescent="0.3">
      <c r="A48" t="s">
        <v>70</v>
      </c>
      <c r="B48" s="13">
        <v>215</v>
      </c>
      <c r="C48" s="19">
        <f>+$B48*$H$4*2</f>
        <v>135.02000000000001</v>
      </c>
    </row>
    <row r="49" spans="1:4" x14ac:dyDescent="0.3">
      <c r="A49" t="s">
        <v>87</v>
      </c>
      <c r="B49" s="13">
        <v>3100</v>
      </c>
      <c r="C49" s="19">
        <f>+$B49*$H$7*2</f>
        <v>1426</v>
      </c>
    </row>
    <row r="50" spans="1:4" x14ac:dyDescent="0.3">
      <c r="A50" t="s">
        <v>86</v>
      </c>
      <c r="B50" s="13">
        <v>2300</v>
      </c>
      <c r="C50" s="19">
        <f>+B50*H6*2</f>
        <v>1090.2</v>
      </c>
    </row>
    <row r="51" spans="1:4" x14ac:dyDescent="0.3">
      <c r="A51" t="s">
        <v>88</v>
      </c>
      <c r="B51" s="13">
        <v>3000</v>
      </c>
      <c r="C51" s="19">
        <f>+$B51*$H$7*2</f>
        <v>1380</v>
      </c>
    </row>
    <row r="52" spans="1:4" x14ac:dyDescent="0.3">
      <c r="A52" t="s">
        <v>89</v>
      </c>
      <c r="B52" s="13">
        <v>700</v>
      </c>
      <c r="C52" s="19">
        <f>+$B52*$H$4*2</f>
        <v>439.6</v>
      </c>
    </row>
    <row r="53" spans="1:4" x14ac:dyDescent="0.3">
      <c r="A53" t="s">
        <v>90</v>
      </c>
      <c r="B53" s="13">
        <v>560</v>
      </c>
      <c r="C53" s="19">
        <f>+$B53*$H$4*2</f>
        <v>351.68</v>
      </c>
    </row>
    <row r="54" spans="1:4" x14ac:dyDescent="0.3">
      <c r="A54" t="s">
        <v>91</v>
      </c>
      <c r="B54" s="13">
        <v>1900</v>
      </c>
      <c r="C54" s="19">
        <f>+$B54*$H$5*2</f>
        <v>980.4</v>
      </c>
    </row>
    <row r="55" spans="1:4" x14ac:dyDescent="0.3">
      <c r="A55" t="s">
        <v>92</v>
      </c>
      <c r="B55" s="13">
        <v>275</v>
      </c>
      <c r="C55" s="19">
        <f>+$B55*$H$4*2</f>
        <v>172.7</v>
      </c>
    </row>
    <row r="56" spans="1:4" x14ac:dyDescent="0.3">
      <c r="A56" t="s">
        <v>96</v>
      </c>
      <c r="B56" s="13">
        <v>250</v>
      </c>
      <c r="C56" s="19">
        <f>+$B56*$H$4*2</f>
        <v>157</v>
      </c>
    </row>
    <row r="57" spans="1:4" x14ac:dyDescent="0.3">
      <c r="B57" s="13"/>
      <c r="C57" s="19"/>
    </row>
    <row r="58" spans="1:4" x14ac:dyDescent="0.3">
      <c r="A58" s="2" t="s">
        <v>97</v>
      </c>
      <c r="B58" s="13"/>
      <c r="C58" s="19">
        <f>AVERAGE(C59:C64)</f>
        <v>160.66333333333336</v>
      </c>
      <c r="D58" t="s">
        <v>175</v>
      </c>
    </row>
    <row r="59" spans="1:4" x14ac:dyDescent="0.3">
      <c r="A59" t="s">
        <v>98</v>
      </c>
      <c r="B59" s="13">
        <v>75</v>
      </c>
      <c r="C59" s="19">
        <f t="shared" ref="C59:C64" si="1">+$B59*$H$4*2</f>
        <v>47.1</v>
      </c>
    </row>
    <row r="60" spans="1:4" x14ac:dyDescent="0.3">
      <c r="A60" t="s">
        <v>100</v>
      </c>
      <c r="B60" s="13">
        <v>270</v>
      </c>
      <c r="C60" s="19">
        <f t="shared" si="1"/>
        <v>169.56</v>
      </c>
    </row>
    <row r="61" spans="1:4" x14ac:dyDescent="0.3">
      <c r="A61" t="s">
        <v>101</v>
      </c>
      <c r="B61" s="13">
        <v>220</v>
      </c>
      <c r="C61" s="19">
        <f t="shared" si="1"/>
        <v>138.16</v>
      </c>
    </row>
    <row r="62" spans="1:4" x14ac:dyDescent="0.3">
      <c r="A62" t="s">
        <v>102</v>
      </c>
      <c r="B62" s="13">
        <v>470</v>
      </c>
      <c r="C62" s="19">
        <f t="shared" si="1"/>
        <v>295.16000000000003</v>
      </c>
    </row>
    <row r="63" spans="1:4" x14ac:dyDescent="0.3">
      <c r="A63" t="s">
        <v>103</v>
      </c>
      <c r="B63" s="13">
        <v>310</v>
      </c>
      <c r="C63" s="19">
        <f t="shared" si="1"/>
        <v>194.68</v>
      </c>
    </row>
    <row r="64" spans="1:4" x14ac:dyDescent="0.3">
      <c r="A64" t="s">
        <v>104</v>
      </c>
      <c r="B64" s="13">
        <v>190</v>
      </c>
      <c r="C64" s="19">
        <f t="shared" si="1"/>
        <v>119.32000000000001</v>
      </c>
    </row>
    <row r="65" spans="1:4" x14ac:dyDescent="0.3">
      <c r="B65" s="13"/>
      <c r="C65" s="19"/>
    </row>
    <row r="66" spans="1:4" x14ac:dyDescent="0.3">
      <c r="A66" s="2" t="s">
        <v>159</v>
      </c>
      <c r="B66" s="13"/>
      <c r="C66" s="19"/>
    </row>
    <row r="67" spans="1:4" x14ac:dyDescent="0.3">
      <c r="A67" t="s">
        <v>160</v>
      </c>
      <c r="B67" s="13">
        <v>1150</v>
      </c>
      <c r="C67" s="19">
        <f>+$H$5*$B67*2</f>
        <v>593.4</v>
      </c>
    </row>
    <row r="68" spans="1:4" x14ac:dyDescent="0.3">
      <c r="A68" t="s">
        <v>227</v>
      </c>
      <c r="B68" s="13">
        <v>800</v>
      </c>
      <c r="C68" s="19">
        <f>+B68*H4*2</f>
        <v>502.4</v>
      </c>
    </row>
    <row r="69" spans="1:4" x14ac:dyDescent="0.3">
      <c r="C69" s="18"/>
    </row>
    <row r="70" spans="1:4" x14ac:dyDescent="0.3">
      <c r="A70" s="2" t="s">
        <v>169</v>
      </c>
      <c r="C70" s="19">
        <f>AVERAGE(C71:C75)</f>
        <v>1631.16</v>
      </c>
      <c r="D70" t="s">
        <v>175</v>
      </c>
    </row>
    <row r="71" spans="1:4" x14ac:dyDescent="0.3">
      <c r="A71" t="s">
        <v>170</v>
      </c>
      <c r="B71" s="9">
        <v>3610</v>
      </c>
      <c r="C71" s="19">
        <f>+$B71*$H$7*2</f>
        <v>1660.6000000000001</v>
      </c>
    </row>
    <row r="72" spans="1:4" x14ac:dyDescent="0.3">
      <c r="A72" t="s">
        <v>171</v>
      </c>
      <c r="B72" s="9">
        <v>3250</v>
      </c>
      <c r="C72" s="19">
        <f>+$B72*$H$7*2</f>
        <v>1495</v>
      </c>
    </row>
    <row r="73" spans="1:4" x14ac:dyDescent="0.3">
      <c r="A73" t="s">
        <v>173</v>
      </c>
      <c r="B73" s="9">
        <v>3400</v>
      </c>
      <c r="C73" s="19">
        <f>+$B73*$H$7*2</f>
        <v>1564</v>
      </c>
    </row>
    <row r="74" spans="1:4" x14ac:dyDescent="0.3">
      <c r="A74" t="s">
        <v>177</v>
      </c>
      <c r="B74" s="9">
        <v>3600</v>
      </c>
      <c r="C74" s="19">
        <f>+$B74*$H$7*2</f>
        <v>1656</v>
      </c>
    </row>
    <row r="75" spans="1:4" x14ac:dyDescent="0.3">
      <c r="A75" t="s">
        <v>178</v>
      </c>
      <c r="B75" s="9">
        <v>3870</v>
      </c>
      <c r="C75" s="19">
        <f>+$B75*$H$7*2</f>
        <v>1780.2</v>
      </c>
    </row>
    <row r="76" spans="1:4" x14ac:dyDescent="0.3">
      <c r="B76" s="9"/>
    </row>
    <row r="77" spans="1:4" x14ac:dyDescent="0.3">
      <c r="A77" s="2" t="s">
        <v>176</v>
      </c>
      <c r="B77" s="9"/>
      <c r="C77" s="21">
        <f>AVERAGE(C78:C79)</f>
        <v>124.03</v>
      </c>
      <c r="D77" t="s">
        <v>175</v>
      </c>
    </row>
    <row r="78" spans="1:4" x14ac:dyDescent="0.3">
      <c r="A78" t="s">
        <v>172</v>
      </c>
      <c r="B78" s="9">
        <v>285</v>
      </c>
      <c r="C78" s="19">
        <f t="shared" ref="C78:C79" si="2">+$B78*$H$4*2</f>
        <v>178.98</v>
      </c>
    </row>
    <row r="79" spans="1:4" x14ac:dyDescent="0.3">
      <c r="A79" t="s">
        <v>174</v>
      </c>
      <c r="B79" s="9">
        <v>110</v>
      </c>
      <c r="C79" s="19">
        <f t="shared" si="2"/>
        <v>69.08</v>
      </c>
    </row>
    <row r="80" spans="1:4" x14ac:dyDescent="0.3">
      <c r="B80" s="9"/>
    </row>
    <row r="81" spans="1:3" x14ac:dyDescent="0.3">
      <c r="A81" s="2" t="s">
        <v>211</v>
      </c>
      <c r="B81" s="9"/>
    </row>
    <row r="82" spans="1:3" x14ac:dyDescent="0.3">
      <c r="A82" t="s">
        <v>212</v>
      </c>
      <c r="B82" s="9">
        <v>4900</v>
      </c>
      <c r="C82" s="21">
        <f>+B82*H8*2</f>
        <v>3008.6</v>
      </c>
    </row>
    <row r="83" spans="1:3" x14ac:dyDescent="0.3">
      <c r="A83" t="s">
        <v>213</v>
      </c>
      <c r="B83" s="9">
        <v>3320</v>
      </c>
      <c r="C83" s="21">
        <f>+B83*H7*2</f>
        <v>1527.2</v>
      </c>
    </row>
    <row r="84" spans="1:3" x14ac:dyDescent="0.3">
      <c r="A84" t="s">
        <v>64</v>
      </c>
      <c r="B84" s="13">
        <v>12200</v>
      </c>
      <c r="C84" s="19">
        <f>+$B84*$H$10*2</f>
        <v>5441.2</v>
      </c>
    </row>
    <row r="85" spans="1:3" x14ac:dyDescent="0.3">
      <c r="A85" t="s">
        <v>219</v>
      </c>
      <c r="B85" s="9">
        <v>11370</v>
      </c>
      <c r="C85" s="21">
        <f>+B85*H10*2</f>
        <v>5071.0200000000004</v>
      </c>
    </row>
    <row r="86" spans="1:3" x14ac:dyDescent="0.3">
      <c r="A86" t="s">
        <v>220</v>
      </c>
      <c r="B86" s="9">
        <v>2780</v>
      </c>
      <c r="C86" s="21">
        <f>+B86*H6*2</f>
        <v>1317.72</v>
      </c>
    </row>
  </sheetData>
  <sheetProtection algorithmName="SHA-512" hashValue="Y5YXvPUCYHuhp4nU3jb9m3t4aeN9+ueODabeJ6FgLtdpOzwLNiJtwpl8hIAbUb4iRIf7YcDNoppqnrbBPLzXBQ==" saltValue="pq7/kLhL90hfjqP6TdF3tA==" spinCount="100000" sheet="1" objects="1" scenarios="1"/>
  <mergeCells count="3">
    <mergeCell ref="A1:B1"/>
    <mergeCell ref="D4:D6"/>
    <mergeCell ref="E4:E6"/>
  </mergeCells>
  <hyperlinks>
    <hyperlink ref="I3" r:id="rId1" location="cite_note-BaseCarbone-2" xr:uid="{54DF0F1B-91C7-4384-9EEF-92FF681A6839}"/>
  </hyperlinks>
  <pageMargins left="0.7" right="0.7" top="0.75" bottom="0.75" header="0.3" footer="0.3"/>
  <pageSetup orientation="portrait"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091E8-9FCF-47DF-9418-EFC2E8AFFA6A}">
  <dimension ref="A1:N15"/>
  <sheetViews>
    <sheetView workbookViewId="0">
      <selection activeCell="I18" sqref="I18"/>
    </sheetView>
  </sheetViews>
  <sheetFormatPr baseColWidth="10" defaultRowHeight="14.4" x14ac:dyDescent="0.3"/>
  <cols>
    <col min="2" max="2" width="24.88671875" bestFit="1" customWidth="1"/>
    <col min="3" max="4" width="5" bestFit="1" customWidth="1"/>
    <col min="5" max="5" width="6.88671875" bestFit="1" customWidth="1"/>
    <col min="6" max="6" width="7" bestFit="1" customWidth="1"/>
    <col min="7" max="7" width="12" bestFit="1" customWidth="1"/>
    <col min="8" max="8" width="10.21875" bestFit="1" customWidth="1"/>
    <col min="9" max="9" width="13.5546875" bestFit="1" customWidth="1"/>
    <col min="10" max="10" width="17.6640625" bestFit="1" customWidth="1"/>
    <col min="12" max="12" width="23.77734375" bestFit="1" customWidth="1"/>
    <col min="13" max="13" width="6" bestFit="1" customWidth="1"/>
    <col min="14" max="14" width="15.109375" bestFit="1" customWidth="1"/>
  </cols>
  <sheetData>
    <row r="1" spans="1:14" ht="15.6" x14ac:dyDescent="0.3">
      <c r="A1" s="48" t="s">
        <v>136</v>
      </c>
      <c r="B1" s="48"/>
      <c r="C1" s="48"/>
      <c r="D1" s="48"/>
    </row>
    <row r="2" spans="1:14" ht="15.6" x14ac:dyDescent="0.3">
      <c r="A2" s="10"/>
      <c r="B2" s="10" t="s">
        <v>126</v>
      </c>
      <c r="C2" s="10" t="s">
        <v>16</v>
      </c>
      <c r="D2" s="10" t="s">
        <v>134</v>
      </c>
      <c r="E2" s="10" t="s">
        <v>135</v>
      </c>
      <c r="F2" s="10" t="s">
        <v>142</v>
      </c>
      <c r="G2" s="10" t="s">
        <v>137</v>
      </c>
      <c r="H2" s="10" t="s">
        <v>143</v>
      </c>
      <c r="I2" s="10" t="s">
        <v>144</v>
      </c>
      <c r="J2" s="10" t="s">
        <v>145</v>
      </c>
      <c r="L2" t="s">
        <v>133</v>
      </c>
      <c r="M2" s="35">
        <v>0.2</v>
      </c>
      <c r="N2" t="s">
        <v>116</v>
      </c>
    </row>
    <row r="3" spans="1:14" x14ac:dyDescent="0.3">
      <c r="A3" t="s">
        <v>119</v>
      </c>
      <c r="B3" t="s">
        <v>120</v>
      </c>
      <c r="C3" s="38">
        <v>700</v>
      </c>
      <c r="D3" s="38">
        <v>1220</v>
      </c>
      <c r="E3" s="38">
        <v>12</v>
      </c>
      <c r="F3" s="14">
        <f>+$E3*$M$5</f>
        <v>22.224</v>
      </c>
      <c r="G3" s="13">
        <f>+$C3/$F3</f>
        <v>31.497480201583873</v>
      </c>
      <c r="H3" s="13">
        <v>28</v>
      </c>
      <c r="I3">
        <f>+$M$2*$D3*$G3</f>
        <v>7685.3851691864647</v>
      </c>
      <c r="J3" s="15">
        <f>+$I3/$H3</f>
        <v>274.47804175665948</v>
      </c>
      <c r="L3" t="s">
        <v>138</v>
      </c>
      <c r="M3" s="12">
        <v>0.82</v>
      </c>
      <c r="N3" t="s">
        <v>32</v>
      </c>
    </row>
    <row r="4" spans="1:14" x14ac:dyDescent="0.3">
      <c r="A4" t="s">
        <v>119</v>
      </c>
      <c r="B4" t="s">
        <v>121</v>
      </c>
      <c r="C4" s="38">
        <v>500</v>
      </c>
      <c r="D4" s="38">
        <v>1220</v>
      </c>
      <c r="E4" s="38">
        <v>12</v>
      </c>
      <c r="F4" s="14">
        <f t="shared" ref="F4:F9" si="0">+$E4*$M$5</f>
        <v>22.224</v>
      </c>
      <c r="G4" s="13">
        <f t="shared" ref="G4:G15" si="1">+$C4/$F4</f>
        <v>22.49820014398848</v>
      </c>
      <c r="H4" s="13">
        <v>28</v>
      </c>
      <c r="I4">
        <f t="shared" ref="I4:I15" si="2">+$M$2*$D4*$G4</f>
        <v>5489.5608351331894</v>
      </c>
      <c r="J4" s="15">
        <f t="shared" ref="J4:J15" si="3">+$I4/$H4</f>
        <v>196.05574411189963</v>
      </c>
      <c r="L4" t="s">
        <v>139</v>
      </c>
      <c r="M4" s="12">
        <v>3.16</v>
      </c>
      <c r="N4" t="s">
        <v>140</v>
      </c>
    </row>
    <row r="5" spans="1:14" x14ac:dyDescent="0.3">
      <c r="A5" t="s">
        <v>119</v>
      </c>
      <c r="B5" t="s">
        <v>122</v>
      </c>
      <c r="C5" s="38">
        <v>300</v>
      </c>
      <c r="D5" s="38">
        <v>1220</v>
      </c>
      <c r="E5" s="38">
        <v>12</v>
      </c>
      <c r="F5" s="14">
        <f t="shared" si="0"/>
        <v>22.224</v>
      </c>
      <c r="G5" s="13">
        <f t="shared" si="1"/>
        <v>13.498920086393088</v>
      </c>
      <c r="H5" s="13">
        <v>28</v>
      </c>
      <c r="I5">
        <f t="shared" si="2"/>
        <v>3293.7365010799135</v>
      </c>
      <c r="J5" s="15">
        <f t="shared" si="3"/>
        <v>117.63344646713976</v>
      </c>
      <c r="L5" t="s">
        <v>141</v>
      </c>
      <c r="M5" s="12">
        <v>1.8520000000000001</v>
      </c>
      <c r="N5" t="s">
        <v>16</v>
      </c>
    </row>
    <row r="6" spans="1:14" x14ac:dyDescent="0.3">
      <c r="A6" t="s">
        <v>49</v>
      </c>
      <c r="B6" t="s">
        <v>123</v>
      </c>
      <c r="C6" s="38">
        <v>300</v>
      </c>
      <c r="D6" s="38">
        <v>1000</v>
      </c>
      <c r="E6" s="38">
        <v>12</v>
      </c>
      <c r="F6" s="14">
        <f t="shared" si="0"/>
        <v>22.224</v>
      </c>
      <c r="G6" s="13">
        <f t="shared" si="1"/>
        <v>13.498920086393088</v>
      </c>
      <c r="H6" s="13">
        <v>20</v>
      </c>
      <c r="I6">
        <f t="shared" si="2"/>
        <v>2699.7840172786177</v>
      </c>
      <c r="J6" s="15">
        <f t="shared" si="3"/>
        <v>134.98920086393088</v>
      </c>
      <c r="M6" s="11"/>
    </row>
    <row r="7" spans="1:14" x14ac:dyDescent="0.3">
      <c r="A7" t="s">
        <v>49</v>
      </c>
      <c r="B7" t="s">
        <v>124</v>
      </c>
      <c r="C7" s="38">
        <v>1000</v>
      </c>
      <c r="D7" s="38">
        <v>1040</v>
      </c>
      <c r="E7" s="38">
        <v>10</v>
      </c>
      <c r="F7" s="14">
        <f t="shared" si="0"/>
        <v>18.52</v>
      </c>
      <c r="G7" s="13">
        <f t="shared" si="1"/>
        <v>53.995680345572353</v>
      </c>
      <c r="H7" s="13">
        <v>10</v>
      </c>
      <c r="I7">
        <f t="shared" si="2"/>
        <v>11231.101511879049</v>
      </c>
      <c r="J7" s="15">
        <f t="shared" si="3"/>
        <v>1123.1101511879049</v>
      </c>
      <c r="M7" s="11"/>
    </row>
    <row r="8" spans="1:14" x14ac:dyDescent="0.3">
      <c r="A8" t="s">
        <v>49</v>
      </c>
      <c r="B8" t="s">
        <v>154</v>
      </c>
      <c r="C8" s="38">
        <v>600</v>
      </c>
      <c r="D8" s="38">
        <v>500</v>
      </c>
      <c r="E8" s="38">
        <v>9</v>
      </c>
      <c r="F8" s="14">
        <f t="shared" si="0"/>
        <v>16.667999999999999</v>
      </c>
      <c r="G8" s="13">
        <f t="shared" si="1"/>
        <v>35.997120230381569</v>
      </c>
      <c r="H8" s="13">
        <v>16</v>
      </c>
      <c r="I8">
        <f t="shared" si="2"/>
        <v>3599.712023038157</v>
      </c>
      <c r="J8" s="15">
        <f t="shared" si="3"/>
        <v>224.98200143988481</v>
      </c>
      <c r="M8" s="11"/>
    </row>
    <row r="9" spans="1:14" x14ac:dyDescent="0.3">
      <c r="A9" t="s">
        <v>49</v>
      </c>
      <c r="B9" t="s">
        <v>155</v>
      </c>
      <c r="C9" s="38">
        <v>600</v>
      </c>
      <c r="D9" s="38">
        <v>800</v>
      </c>
      <c r="E9" s="38">
        <v>14</v>
      </c>
      <c r="F9" s="14">
        <f t="shared" si="0"/>
        <v>25.928000000000001</v>
      </c>
      <c r="G9" s="13">
        <f t="shared" si="1"/>
        <v>23.141005862388152</v>
      </c>
      <c r="H9" s="13">
        <v>16</v>
      </c>
      <c r="I9">
        <f t="shared" si="2"/>
        <v>3702.5609379821044</v>
      </c>
      <c r="J9" s="15">
        <f t="shared" si="3"/>
        <v>231.41005862388153</v>
      </c>
    </row>
    <row r="10" spans="1:14" x14ac:dyDescent="0.3">
      <c r="A10" t="s">
        <v>49</v>
      </c>
      <c r="B10" t="s">
        <v>164</v>
      </c>
      <c r="C10" s="38">
        <v>1250</v>
      </c>
      <c r="D10" s="38">
        <v>620</v>
      </c>
      <c r="E10" s="38">
        <v>10</v>
      </c>
      <c r="F10" s="14">
        <f t="shared" ref="F10:F15" si="4">+$E10*$M$5</f>
        <v>18.52</v>
      </c>
      <c r="G10" s="13">
        <f t="shared" si="1"/>
        <v>67.494600431965438</v>
      </c>
      <c r="H10" s="13">
        <v>12</v>
      </c>
      <c r="I10">
        <f t="shared" si="2"/>
        <v>8369.3304535637144</v>
      </c>
      <c r="J10" s="15">
        <f t="shared" si="3"/>
        <v>697.4442044636429</v>
      </c>
    </row>
    <row r="11" spans="1:14" x14ac:dyDescent="0.3">
      <c r="A11" t="s">
        <v>207</v>
      </c>
      <c r="B11" t="s">
        <v>208</v>
      </c>
      <c r="C11" s="38">
        <v>800</v>
      </c>
      <c r="D11" s="38">
        <v>1000</v>
      </c>
      <c r="E11" s="38">
        <v>10</v>
      </c>
      <c r="F11" s="14">
        <f t="shared" si="4"/>
        <v>18.52</v>
      </c>
      <c r="G11" s="13">
        <f t="shared" si="1"/>
        <v>43.196544276457885</v>
      </c>
      <c r="H11" s="13">
        <v>40</v>
      </c>
      <c r="I11">
        <f t="shared" si="2"/>
        <v>8639.3088552915779</v>
      </c>
      <c r="J11" s="15">
        <f t="shared" si="3"/>
        <v>215.98272138228944</v>
      </c>
    </row>
    <row r="12" spans="1:14" x14ac:dyDescent="0.3">
      <c r="A12" t="s">
        <v>207</v>
      </c>
      <c r="B12" t="s">
        <v>208</v>
      </c>
      <c r="C12" s="38">
        <v>800</v>
      </c>
      <c r="D12" s="38">
        <v>600</v>
      </c>
      <c r="E12" s="38">
        <v>10</v>
      </c>
      <c r="F12" s="14">
        <f t="shared" si="4"/>
        <v>18.52</v>
      </c>
      <c r="G12" s="13">
        <f t="shared" si="1"/>
        <v>43.196544276457885</v>
      </c>
      <c r="H12" s="13">
        <v>26</v>
      </c>
      <c r="I12">
        <f t="shared" si="2"/>
        <v>5183.5853131749464</v>
      </c>
      <c r="J12" s="15">
        <f t="shared" si="3"/>
        <v>199.36866589134408</v>
      </c>
    </row>
    <row r="13" spans="1:14" x14ac:dyDescent="0.3">
      <c r="A13" t="s">
        <v>49</v>
      </c>
      <c r="B13" t="s">
        <v>215</v>
      </c>
      <c r="C13" s="38">
        <v>500</v>
      </c>
      <c r="D13" s="38">
        <v>1800</v>
      </c>
      <c r="E13" s="38">
        <v>11</v>
      </c>
      <c r="F13" s="14">
        <f t="shared" si="4"/>
        <v>20.372</v>
      </c>
      <c r="G13" s="13">
        <f t="shared" si="1"/>
        <v>24.543491066169253</v>
      </c>
      <c r="H13" s="13">
        <v>20</v>
      </c>
      <c r="I13">
        <f t="shared" si="2"/>
        <v>8835.6567838209303</v>
      </c>
      <c r="J13" s="15">
        <f t="shared" si="3"/>
        <v>441.78283919104649</v>
      </c>
    </row>
    <row r="14" spans="1:14" x14ac:dyDescent="0.3">
      <c r="A14" t="s">
        <v>207</v>
      </c>
      <c r="B14" t="s">
        <v>218</v>
      </c>
      <c r="C14" s="38">
        <v>500</v>
      </c>
      <c r="D14" s="38">
        <v>600</v>
      </c>
      <c r="E14" s="38">
        <v>8</v>
      </c>
      <c r="F14" s="14">
        <f t="shared" si="4"/>
        <v>14.816000000000001</v>
      </c>
      <c r="G14" s="13">
        <f t="shared" si="1"/>
        <v>33.747300215982719</v>
      </c>
      <c r="H14" s="13">
        <v>16</v>
      </c>
      <c r="I14">
        <f t="shared" si="2"/>
        <v>4049.6760259179264</v>
      </c>
      <c r="J14" s="15">
        <f t="shared" si="3"/>
        <v>253.1047516198704</v>
      </c>
    </row>
    <row r="15" spans="1:14" x14ac:dyDescent="0.3">
      <c r="A15" t="s">
        <v>49</v>
      </c>
      <c r="B15" t="s">
        <v>223</v>
      </c>
      <c r="C15" s="38">
        <v>1250</v>
      </c>
      <c r="D15" s="38">
        <v>850</v>
      </c>
      <c r="E15" s="38">
        <v>10</v>
      </c>
      <c r="F15" s="14">
        <f t="shared" si="4"/>
        <v>18.52</v>
      </c>
      <c r="G15" s="13">
        <f t="shared" si="1"/>
        <v>67.494600431965438</v>
      </c>
      <c r="H15" s="13">
        <v>22</v>
      </c>
      <c r="I15">
        <f t="shared" si="2"/>
        <v>11474.082073434125</v>
      </c>
      <c r="J15" s="15">
        <f t="shared" si="3"/>
        <v>521.54918515609654</v>
      </c>
    </row>
  </sheetData>
  <sheetProtection algorithmName="SHA-512" hashValue="I0swskgfAYAbkGQ8EnNbcFjQ5I4svXj4ylTYZDjNJeKU/z/DIbo8C2c2gLdL8kWgOQdMPnjcy9ANa5QA/J7I8A==" saltValue="7b4txVXlf8wSZU/qCqNLIQ==" spinCount="100000" sheet="1" objects="1" scenarios="1"/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Bilan annuel rapide</vt:lpstr>
      <vt:lpstr>Bilan par séjour</vt:lpstr>
      <vt:lpstr>Trajet avion </vt:lpstr>
      <vt:lpstr>Liveaboard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32485</dc:creator>
  <cp:lastModifiedBy>32485</cp:lastModifiedBy>
  <dcterms:created xsi:type="dcterms:W3CDTF">2019-08-11T08:18:43Z</dcterms:created>
  <dcterms:modified xsi:type="dcterms:W3CDTF">2019-08-16T14:20:14Z</dcterms:modified>
</cp:coreProperties>
</file>